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385" windowWidth="19020" windowHeight="10065" tabRatio="769" activeTab="0"/>
  </bookViews>
  <sheets>
    <sheet name="стр.1_3" sheetId="1" r:id="rId1"/>
    <sheet name="Расшифровка прочих расходов" sheetId="2" r:id="rId2"/>
    <sheet name="Лист1" sheetId="3" state="hidden" r:id="rId3"/>
  </sheets>
  <definedNames>
    <definedName name="_xlnm._FilterDatabase" localSheetId="1" hidden="1">'Расшифровка прочих расходов'!$A$32:$IJ$53</definedName>
    <definedName name="_xlnm._FilterDatabase" localSheetId="0" hidden="1">'стр.1_3'!$A$15:$F$15</definedName>
    <definedName name="_xlnm.Print_Titles" localSheetId="0">'стр.1_3'!$13:$14</definedName>
    <definedName name="_xlnm.Print_Area" localSheetId="1">'Расшифровка прочих расходов'!$A$1:$F$53</definedName>
    <definedName name="_xlnm.Print_Area" localSheetId="0">'стр.1_3'!$A$1:$F$88</definedName>
  </definedNames>
  <calcPr fullCalcOnLoad="1"/>
</workbook>
</file>

<file path=xl/comments1.xml><?xml version="1.0" encoding="utf-8"?>
<comments xmlns="http://schemas.openxmlformats.org/spreadsheetml/2006/main">
  <authors>
    <author>Неговора Елена Викторовна</author>
  </authors>
  <commentList>
    <comment ref="D45" authorId="0">
      <text>
        <r>
          <rPr>
            <b/>
            <sz val="9"/>
            <rFont val="Tahoma"/>
            <family val="2"/>
          </rPr>
          <t>корр НВВ+ РПП+экономия потерь</t>
        </r>
      </text>
    </comment>
  </commentList>
</comments>
</file>

<file path=xl/sharedStrings.xml><?xml version="1.0" encoding="utf-8"?>
<sst xmlns="http://schemas.openxmlformats.org/spreadsheetml/2006/main" count="1209" uniqueCount="1051">
  <si>
    <t>план *</t>
  </si>
  <si>
    <t>Примечание ***</t>
  </si>
  <si>
    <t>I</t>
  </si>
  <si>
    <t>тыс. руб.</t>
  </si>
  <si>
    <t>1</t>
  </si>
  <si>
    <t>1.1</t>
  </si>
  <si>
    <t>1.1.1</t>
  </si>
  <si>
    <t>Материальные расходы, всего</t>
  </si>
  <si>
    <t>1.1.2</t>
  </si>
  <si>
    <t>1.1.1.1</t>
  </si>
  <si>
    <t>в том числе на ремонт</t>
  </si>
  <si>
    <t>1.1.1.2</t>
  </si>
  <si>
    <t>1.1.3</t>
  </si>
  <si>
    <t>1.3</t>
  </si>
  <si>
    <t>II</t>
  </si>
  <si>
    <t>III</t>
  </si>
  <si>
    <t>Форма раскрытия информации о структуре и объемах затрат</t>
  </si>
  <si>
    <t>на оказание услуг по передаче электрической энергии сетевыми</t>
  </si>
  <si>
    <t>Фонд оплаты труда</t>
  </si>
  <si>
    <t>отчисления на социальные нужды</t>
  </si>
  <si>
    <t>налог на прибыль</t>
  </si>
  <si>
    <t>прочие налоги</t>
  </si>
  <si>
    <t>недополученный по независящим причинам доход (+)/избыток средств, полученный в предыдущем периоде регулирования (-)</t>
  </si>
  <si>
    <t>IV</t>
  </si>
  <si>
    <t>№ п/п</t>
  </si>
  <si>
    <t>к приказу Федеральной службы по тарифам</t>
  </si>
  <si>
    <t>от 24 октября 2014 г. № 1831-э</t>
  </si>
  <si>
    <t>Ед. изм.</t>
  </si>
  <si>
    <t>Структура затрат</t>
  </si>
  <si>
    <t>х</t>
  </si>
  <si>
    <t>в том числе на работы и услуги производственного характера (в том числе услуги сторонних организаций по содержанию сетей и распределительных устройств)</t>
  </si>
  <si>
    <t>1.1.2.1</t>
  </si>
  <si>
    <t>1.1.3.1</t>
  </si>
  <si>
    <t>в том числе транспортные услуги</t>
  </si>
  <si>
    <t>1.1.3.2</t>
  </si>
  <si>
    <t>в том числе прочие расходы (с расшифровкой)****</t>
  </si>
  <si>
    <t>1.2</t>
  </si>
  <si>
    <t>Неподконтрольные расходы, включенные в НВВ, всего</t>
  </si>
  <si>
    <t>1.2.1</t>
  </si>
  <si>
    <t>Оплата услуг ОАО "ФСК ЕЭС"</t>
  </si>
  <si>
    <t>1.2.2</t>
  </si>
  <si>
    <t>Расходы на оплату технологического присоединения к сетям смежной сетевой организации</t>
  </si>
  <si>
    <t>1.2.3</t>
  </si>
  <si>
    <t>Плата за аренду имущества</t>
  </si>
  <si>
    <t>1.2.4</t>
  </si>
  <si>
    <t>1.2.5</t>
  </si>
  <si>
    <t>1.2.6</t>
  </si>
  <si>
    <t>1.2.7</t>
  </si>
  <si>
    <t>Расходы сетевой организации, связанные с осуществлением технологического присоединения к электрическим сетям, не включенные в плату за технологическое присоединение</t>
  </si>
  <si>
    <t>Справочно: "Количество льготных технологических присоединений"</t>
  </si>
  <si>
    <t>ед.</t>
  </si>
  <si>
    <t>1.2.8</t>
  </si>
  <si>
    <t>Средства, подлежащие дополнительному учету по результатам вступивших в законную силу решений суда, решений ФСТ России, принятых по итогам рассмотрения разногласий или досудебного урегулирования споров, решения ФСТ России об отмене решения регулирующего органа, принятого им с превышением полномочий (предписания)</t>
  </si>
  <si>
    <t>Необходимая валовая выручка на оплату технологического расхода (потерь) электроэнергии</t>
  </si>
  <si>
    <t>%</t>
  </si>
  <si>
    <t>Натуральные (количественные) показатели, используемые при определении структуры и объемов затрат на оказание услуг по передаче электрической энергии сетевыми организациями</t>
  </si>
  <si>
    <t>шт.</t>
  </si>
  <si>
    <t>2</t>
  </si>
  <si>
    <t>Трансформаторная мощность подстанций, всего</t>
  </si>
  <si>
    <t>МВа</t>
  </si>
  <si>
    <t>3</t>
  </si>
  <si>
    <t>Количество условных единиц по линиям электропередач, всего</t>
  </si>
  <si>
    <t>у.е.</t>
  </si>
  <si>
    <t>4</t>
  </si>
  <si>
    <t>Количество условных единиц по подстанциям, всего</t>
  </si>
  <si>
    <t>5</t>
  </si>
  <si>
    <t>Длина линий электропередач, всего</t>
  </si>
  <si>
    <t>км</t>
  </si>
  <si>
    <t>6</t>
  </si>
  <si>
    <t>Доля кабельных линий электропередач</t>
  </si>
  <si>
    <t>7</t>
  </si>
  <si>
    <t>Ввод в эксплуатацию новых объектов электросетевого комплекса на конец года</t>
  </si>
  <si>
    <t>7.1</t>
  </si>
  <si>
    <t>в том числе за счет платы за технологическое присоединение</t>
  </si>
  <si>
    <t>8</t>
  </si>
  <si>
    <t>норматив технологического расхода (потерь) электрической энергии, установленный Минэнерго России *****</t>
  </si>
  <si>
    <t>Приложение 2</t>
  </si>
  <si>
    <t>организациями, регулирование деятельности которых осуществляется</t>
  </si>
  <si>
    <t>Необходимая валовая выручка на содержание</t>
  </si>
  <si>
    <t>Подконтрольные расходы, всего</t>
  </si>
  <si>
    <t>на ремонт</t>
  </si>
  <si>
    <t>Прочие подконтрольные расходы (с расшифровкой)</t>
  </si>
  <si>
    <t>в том числе прибыль на социальное развитие (включая социальные выплаты)</t>
  </si>
  <si>
    <t>1.1.3.3</t>
  </si>
  <si>
    <t>1.1.4</t>
  </si>
  <si>
    <t>Расходы на обслуживание операционных заемных средств в составе подконтрольных расходов</t>
  </si>
  <si>
    <t>1.1.5</t>
  </si>
  <si>
    <t>Расходы из прибыли в составе подконтрольных расходов</t>
  </si>
  <si>
    <t>расходы на возврат и обслуживание долгосрочных заемных средств, направляемых на финансирование капитальных вложений</t>
  </si>
  <si>
    <t>амортизация</t>
  </si>
  <si>
    <t>прибыль на капитальные вложения</t>
  </si>
  <si>
    <t>1.2.9</t>
  </si>
  <si>
    <t>1.2.10</t>
  </si>
  <si>
    <t>1.2.10.1</t>
  </si>
  <si>
    <t>1.2.11</t>
  </si>
  <si>
    <t>1.2.12</t>
  </si>
  <si>
    <t>прочие неподконтрольные расходы (с расшифровкой)</t>
  </si>
  <si>
    <t>Справочно:
Объем технологических потерь</t>
  </si>
  <si>
    <t>Справочно:
Цена покупки электрической энергии сетевой организацией в целях компенсации технологического расхода электрической энергии</t>
  </si>
  <si>
    <t>методом долгосрочной индексации необходимой валовой выручки</t>
  </si>
  <si>
    <t>в том числе на сырье, материалы, запасные части, инструмент, топливо</t>
  </si>
  <si>
    <r>
      <t xml:space="preserve">ИНН:  </t>
    </r>
    <r>
      <rPr>
        <u val="single"/>
        <sz val="12"/>
        <color indexed="8"/>
        <rFont val="Times New Roman"/>
        <family val="1"/>
      </rPr>
      <t>6164266561</t>
    </r>
  </si>
  <si>
    <r>
      <t xml:space="preserve">КПП:  </t>
    </r>
    <r>
      <rPr>
        <u val="single"/>
        <sz val="12"/>
        <color indexed="8"/>
        <rFont val="Times New Roman"/>
        <family val="1"/>
      </rPr>
      <t>81602001</t>
    </r>
  </si>
  <si>
    <t>2.1.</t>
  </si>
  <si>
    <t>в том числе трансформаторная мощность подстанций на уровне напряжения ВН</t>
  </si>
  <si>
    <t>2.2.</t>
  </si>
  <si>
    <t>в том числе трансформаторная мощность подстанций на уровне напряжения СН1</t>
  </si>
  <si>
    <t>2.3.</t>
  </si>
  <si>
    <r>
      <t>в том числе трансформаторная мощность подстанций на уровне напряжения СН2</t>
    </r>
  </si>
  <si>
    <t>2.4.</t>
  </si>
  <si>
    <t>в том числе трансформаторная мощность подстанций на уровне напряжения НН</t>
  </si>
  <si>
    <t>3.1.</t>
  </si>
  <si>
    <t>в том числе количество условных единиц по линиям электропередач на  уровне напряжения ВН</t>
  </si>
  <si>
    <t>3.2.</t>
  </si>
  <si>
    <t>в том числе количество условных единиц по линиям электропередач на  уровне напряжения СН1</t>
  </si>
  <si>
    <t>3.3.</t>
  </si>
  <si>
    <r>
      <t>в том числе количество условных единиц по линиям электропередач на  уровне напряжения СН2</t>
    </r>
  </si>
  <si>
    <t>3.4.</t>
  </si>
  <si>
    <t>в том числе количество условных единиц по линиям электропередач на  уровне напряжения НН</t>
  </si>
  <si>
    <t>4.1.</t>
  </si>
  <si>
    <t>в том числе количество условных единиц по подстанциям на  уровне напряжения ВН</t>
  </si>
  <si>
    <t>4.2.</t>
  </si>
  <si>
    <t>в том числе количество условных единиц по подстанциям на  уровне напряжения СН1</t>
  </si>
  <si>
    <t>4.3.</t>
  </si>
  <si>
    <r>
      <t>в том числе количество условных единиц по подстанциям на  уровне напряжения СН2</t>
    </r>
  </si>
  <si>
    <t>4.4.</t>
  </si>
  <si>
    <t>в том числе количество условных единиц по подстанциям на  уровне напряжения НН</t>
  </si>
  <si>
    <t>в том числе длина линий электропередач на  уровне напряжения ВН</t>
  </si>
  <si>
    <t>в том числе длина линий электропередач на  уровне напряжения СН1</t>
  </si>
  <si>
    <r>
      <t>в том числе длина линий электропередач на  уровне напряжения СН2</t>
    </r>
  </si>
  <si>
    <t>в том числе длина линий электропередач на  уровне напряжения НН</t>
  </si>
  <si>
    <t>5.1.</t>
  </si>
  <si>
    <t>5.2.</t>
  </si>
  <si>
    <t>5.3.</t>
  </si>
  <si>
    <t>5.4.</t>
  </si>
  <si>
    <t xml:space="preserve"> руб./МВтч</t>
  </si>
  <si>
    <t>тепловая энергия на хоз.нужды</t>
  </si>
  <si>
    <t>Статья БДР</t>
  </si>
  <si>
    <t>Код статьи</t>
  </si>
  <si>
    <t>Чистая прибыль (убыток)</t>
  </si>
  <si>
    <t>Прибыль (убыток) до налогообложения</t>
  </si>
  <si>
    <t>Прибыль от продаж</t>
  </si>
  <si>
    <t>Валовая прибыль</t>
  </si>
  <si>
    <t>Выручка</t>
  </si>
  <si>
    <t>Выручка от передачи электроэнергии (после вычета нагрузочных)</t>
  </si>
  <si>
    <t>Затраты (себестоимость)</t>
  </si>
  <si>
    <t>Материальные затраты</t>
  </si>
  <si>
    <t>2.1</t>
  </si>
  <si>
    <t>Покупная энергия на производственные и хозяйственные нужды</t>
  </si>
  <si>
    <t>2.1.3</t>
  </si>
  <si>
    <t>Электрическая энергия на производственные и хозяйственные нужды</t>
  </si>
  <si>
    <t>2.1.3.1</t>
  </si>
  <si>
    <t>Сырьё и материалы</t>
  </si>
  <si>
    <t>2.1.4</t>
  </si>
  <si>
    <t>ГСМ</t>
  </si>
  <si>
    <t>2.1.4.1</t>
  </si>
  <si>
    <t>ГСМ для транспорта административно-хозяйственного назначения</t>
  </si>
  <si>
    <t>2.1.4.1.1</t>
  </si>
  <si>
    <t>ГСМ для производственного транспорта и оборудования</t>
  </si>
  <si>
    <t>2.1.4.1.2</t>
  </si>
  <si>
    <t>Материалы на техобслуживание</t>
  </si>
  <si>
    <t>2.1.4.3</t>
  </si>
  <si>
    <t>Материалы для ЛЭП и основного оборудования подстанций (техобслуживание)</t>
  </si>
  <si>
    <t>2.1.4.3.1</t>
  </si>
  <si>
    <t>Материалы для производственных зданий и сооружений (техобслуживание)</t>
  </si>
  <si>
    <t>2.1.4.3.2</t>
  </si>
  <si>
    <t>Материалы для административных зданий и сооружений (техобслуживание)</t>
  </si>
  <si>
    <t>2.1.4.3.3</t>
  </si>
  <si>
    <t>Материалы для автотранспортных средств административно-хозяйственного назначения (техобслуживание)</t>
  </si>
  <si>
    <t>2.1.4.3.4</t>
  </si>
  <si>
    <t>Материалы для автотранспортных средств производственного назначения (техобслуживание)</t>
  </si>
  <si>
    <t>2.1.4.3.5</t>
  </si>
  <si>
    <t>Материалы для средств связи (техобслуживание)</t>
  </si>
  <si>
    <t>2.1.4.3.6</t>
  </si>
  <si>
    <t>Материалы для средств измерений (техобслуживание)</t>
  </si>
  <si>
    <t>2.1.4.3.7</t>
  </si>
  <si>
    <t>Материалы для устройств РЗА (техобслуживание)</t>
  </si>
  <si>
    <t>2.1.4.3.8</t>
  </si>
  <si>
    <t>Материалы для оргтехники (техобслуживание)</t>
  </si>
  <si>
    <t>2.1.4.3.9</t>
  </si>
  <si>
    <t>Материалы для прочих технических средств (техобслуживание)</t>
  </si>
  <si>
    <t>2.1.4.3.10</t>
  </si>
  <si>
    <t>Материалы на ремонт</t>
  </si>
  <si>
    <t>2.1.4.4</t>
  </si>
  <si>
    <t>Материалы для ЛЭП и подстанций (ремонт)</t>
  </si>
  <si>
    <t>2.1.4.4.1</t>
  </si>
  <si>
    <t>Материалы для производственных зданий и сооружений (ремонт)</t>
  </si>
  <si>
    <t>2.1.4.4.2</t>
  </si>
  <si>
    <t>Материалы для административных зданий и сооружений (ремонт)</t>
  </si>
  <si>
    <t>2.1.4.4.3</t>
  </si>
  <si>
    <t>Материалы для автотранспортных средств административно-хозяйственного назначения (ремонт)</t>
  </si>
  <si>
    <t>2.1.4.4.4</t>
  </si>
  <si>
    <t>Материалы для автотранспортных средств производственного назначения (ремонт)</t>
  </si>
  <si>
    <t>2.1.4.4.5</t>
  </si>
  <si>
    <t>Материалы для прочих технических средств (ремонт)</t>
  </si>
  <si>
    <t>Прочие материалы</t>
  </si>
  <si>
    <t>2.1.4.5</t>
  </si>
  <si>
    <t>Прочие материалы средства защиты</t>
  </si>
  <si>
    <t>2.1.4.5.1</t>
  </si>
  <si>
    <t>Прочие материалы специальная одежда и обувь</t>
  </si>
  <si>
    <t>2.1.4.5.2</t>
  </si>
  <si>
    <t>Прочие материалы моющие и чистящие средства</t>
  </si>
  <si>
    <t>2.1.4.5.3</t>
  </si>
  <si>
    <t>Прочие материалы смывающие и обезвреживающие средства</t>
  </si>
  <si>
    <t>2.1.4.5.4</t>
  </si>
  <si>
    <t>Прочие материалы по пожарной  безопасности</t>
  </si>
  <si>
    <t>2.1.4.5.5</t>
  </si>
  <si>
    <t>Прочие материалы по охране труда и технике безопасности</t>
  </si>
  <si>
    <t>2.1.4.5.6</t>
  </si>
  <si>
    <t>Прочие материалы мебель</t>
  </si>
  <si>
    <t>2.1.4.5.7</t>
  </si>
  <si>
    <t>Прочие материалы бытовая техника</t>
  </si>
  <si>
    <t>2.1.4.5.8</t>
  </si>
  <si>
    <t>Прочие материалы инструмент и инвентарь</t>
  </si>
  <si>
    <t>2.1.4.5.9</t>
  </si>
  <si>
    <t>Прочие материалы другие</t>
  </si>
  <si>
    <t>2.1.4.5.10</t>
  </si>
  <si>
    <t>Прочие материалы оргтехника, ПК, сервера, сетевое оборудование</t>
  </si>
  <si>
    <t>2.1.4.5.12</t>
  </si>
  <si>
    <t>Работы и услуги производственного характера (сторонних организаций)</t>
  </si>
  <si>
    <t>2.2</t>
  </si>
  <si>
    <t>Услуги подрядчиков по обслуживанию и ремонту</t>
  </si>
  <si>
    <t>2.2.1</t>
  </si>
  <si>
    <t>Услуги подрядчиков по техобслуживанию</t>
  </si>
  <si>
    <t>2.2.1.1</t>
  </si>
  <si>
    <t>Услуги подрядчиков по техобслуживанию административных зданий и сооружений</t>
  </si>
  <si>
    <t>2.2.1.1.3</t>
  </si>
  <si>
    <t>Услуги подрядчиков по техобслуживанию транспорта административно-хозяйственного назначения</t>
  </si>
  <si>
    <t>2.2.1.1.4</t>
  </si>
  <si>
    <t>Услуги подрядчиков по техобслуживанию транспорта производственного назначения</t>
  </si>
  <si>
    <t>2.2.1.1.5</t>
  </si>
  <si>
    <t>Услуги подрядчиков по техобслуживанию оргтехники</t>
  </si>
  <si>
    <t>2.2.1.1.9</t>
  </si>
  <si>
    <t>Услуги по освидетельствованию производственных зданий и сооружений</t>
  </si>
  <si>
    <t>2.2.1.1.10</t>
  </si>
  <si>
    <t>Услуги подрядчиков по техобслуживанию прочих технических средств</t>
  </si>
  <si>
    <t>2.2.1.1.12</t>
  </si>
  <si>
    <t>Ремонт подрядным способом</t>
  </si>
  <si>
    <t>2.2.1.2</t>
  </si>
  <si>
    <t>Услуги подрядчиков по ремонту транспорта административно-хозяйственного назначения</t>
  </si>
  <si>
    <t>2.2.1.2.4</t>
  </si>
  <si>
    <t>Услуги подрядчиков по ремонту транспорта производственного назначения</t>
  </si>
  <si>
    <t>2.2.1.2.5</t>
  </si>
  <si>
    <t>Услуги подрядчиков по ремонту средств связи</t>
  </si>
  <si>
    <t>2.2.1.2.6</t>
  </si>
  <si>
    <t>Транспортные услуги</t>
  </si>
  <si>
    <t>2.2.2</t>
  </si>
  <si>
    <t>Услуги автотранспорта производственного назначения</t>
  </si>
  <si>
    <t>2.2.2.2</t>
  </si>
  <si>
    <t>Услуги по испытанию и поверке приборов</t>
  </si>
  <si>
    <t>2.2.4</t>
  </si>
  <si>
    <t>Прочие услуги производственного характера</t>
  </si>
  <si>
    <t>2.2.6</t>
  </si>
  <si>
    <t>Услуги по диагностике и экспертизе промышленной безопасности</t>
  </si>
  <si>
    <t>2.2.6.1</t>
  </si>
  <si>
    <t>Услуги по транспортировке и утилизации опасных производственных отходов</t>
  </si>
  <si>
    <t>2.2.6.3</t>
  </si>
  <si>
    <t>Услуги технического надзора</t>
  </si>
  <si>
    <t>2.2.6.9</t>
  </si>
  <si>
    <t>2.3.I</t>
  </si>
  <si>
    <t>Основная заработная плата</t>
  </si>
  <si>
    <t>2.3</t>
  </si>
  <si>
    <t>Доплаты и надбавки к тарифным ставкам и окладам</t>
  </si>
  <si>
    <t>2.4</t>
  </si>
  <si>
    <t>Вознаграждения (надбавки) за выслугу лет, стаж работы</t>
  </si>
  <si>
    <t>2.4.1</t>
  </si>
  <si>
    <t>Единовременные премии</t>
  </si>
  <si>
    <t>2.5</t>
  </si>
  <si>
    <t>Премии и вознаграждения, носящие систематический характер</t>
  </si>
  <si>
    <t>2.5.1</t>
  </si>
  <si>
    <t>Выходное пособие при прекращении трудового договора</t>
  </si>
  <si>
    <t>2.6.1</t>
  </si>
  <si>
    <t>Иные выплаты в составе заработной платы</t>
  </si>
  <si>
    <t>2.7</t>
  </si>
  <si>
    <t>Оплата учебных отпусков</t>
  </si>
  <si>
    <t>2.9</t>
  </si>
  <si>
    <t>Резервы в части ФОТ</t>
  </si>
  <si>
    <t>2.10</t>
  </si>
  <si>
    <t>Резерв на оплату отпусков (без страховых взносов)</t>
  </si>
  <si>
    <t>2.10.1</t>
  </si>
  <si>
    <t>Резерв на оплату вознаграждения по итогам работы за месяц (без страховых взносов)</t>
  </si>
  <si>
    <t>2.10.2</t>
  </si>
  <si>
    <t>Резерв на оплату вознаграждения по итогам работы за квартал (без страховых взносов)</t>
  </si>
  <si>
    <t>2.10.3</t>
  </si>
  <si>
    <t>Резерв на оплату вознаграждения по итогам работы за год и иных премий (без страховых взносов)</t>
  </si>
  <si>
    <t>2.10.4</t>
  </si>
  <si>
    <t>Оплата дней нетрудоспособности</t>
  </si>
  <si>
    <t>2.8</t>
  </si>
  <si>
    <t>Отчисления в НПО</t>
  </si>
  <si>
    <t>Прочие затраты</t>
  </si>
  <si>
    <t>2.14</t>
  </si>
  <si>
    <t>Услуги ПАО "Россети"</t>
  </si>
  <si>
    <t>2.14.1</t>
  </si>
  <si>
    <t>Услуги по организации функционирования и развитию ЕЭС России</t>
  </si>
  <si>
    <t>2.14.1.1</t>
  </si>
  <si>
    <t>Услуги по организации казначейской функции</t>
  </si>
  <si>
    <t>2.14.1.2</t>
  </si>
  <si>
    <t>Управленческие услуги</t>
  </si>
  <si>
    <t>Услуги сторонних организаций</t>
  </si>
  <si>
    <t>2.14.2</t>
  </si>
  <si>
    <t>Услуги связи и передачи данных</t>
  </si>
  <si>
    <t>2.14.2.1</t>
  </si>
  <si>
    <t>Услуги связи и передаче данных - мобильная связь</t>
  </si>
  <si>
    <t>2.14.2.1.1</t>
  </si>
  <si>
    <t>Услуги связи и передаче данных - городская и междугородняя телефонная связь</t>
  </si>
  <si>
    <t>2.14.2.1.2</t>
  </si>
  <si>
    <t>Услуги связи и передачи данных - услуги радиочастотных центров</t>
  </si>
  <si>
    <t>2.14.2.1.3</t>
  </si>
  <si>
    <t>Услуги связи и передачи данных - интернет-обслуживание</t>
  </si>
  <si>
    <t>2.14.2.1.4</t>
  </si>
  <si>
    <t>Услуги связи и передачи данных - услуги специальной связи</t>
  </si>
  <si>
    <t>2.14.2.1.5</t>
  </si>
  <si>
    <t>Услуги связи и передачи данных - аренда каналов связи</t>
  </si>
  <si>
    <t>2.14.2.1.6</t>
  </si>
  <si>
    <t>Услуги связи и передачи данных - прочие услуги связи</t>
  </si>
  <si>
    <t>2.14.2.1.7</t>
  </si>
  <si>
    <t>Услуги коммунального хозяйства</t>
  </si>
  <si>
    <t>2.14.2.2</t>
  </si>
  <si>
    <t>Услуги коммунального хозяйства - холодное водоснабжение и канализация</t>
  </si>
  <si>
    <t>2.14.2.2.1</t>
  </si>
  <si>
    <t>Услуги коммунального хозяйства - вывоз ТБО</t>
  </si>
  <si>
    <t>2.14.2.2.3</t>
  </si>
  <si>
    <t>Услуги коммунального хозяйства - газоснабжение</t>
  </si>
  <si>
    <t>2.14.2.2.4</t>
  </si>
  <si>
    <t>Услуги коммунального хозяйства - прочие</t>
  </si>
  <si>
    <t>2.14.2.2.7</t>
  </si>
  <si>
    <t>Услуги по обучению</t>
  </si>
  <si>
    <t>2.14.2.3</t>
  </si>
  <si>
    <t>Профессиональная подготовка кадров</t>
  </si>
  <si>
    <t>2.14.2.3.1</t>
  </si>
  <si>
    <t>Повышение квалификации кадров</t>
  </si>
  <si>
    <t>2.14.2.3.2</t>
  </si>
  <si>
    <t>Профессиональная переподготовка кадров</t>
  </si>
  <si>
    <t>2.14.2.3.3</t>
  </si>
  <si>
    <t>Услуги по IT-обслуживанию</t>
  </si>
  <si>
    <t>2.14.2.4</t>
  </si>
  <si>
    <t>Услуги ИТ - информационные системы (Консультант+, Гарант и другие)</t>
  </si>
  <si>
    <t>2.14.2.4.1</t>
  </si>
  <si>
    <t>Услуги ИТ - сопровождение и обновление программных продуктов</t>
  </si>
  <si>
    <t>2.14.2.4.2</t>
  </si>
  <si>
    <t>Услуги ИТ - внедрение развитие и сопровождение ПО и систем SAP</t>
  </si>
  <si>
    <t>2.14.2.4.3</t>
  </si>
  <si>
    <t>Услуги ИТ - разработка системного проекта и внедрение прочих программных продуктов</t>
  </si>
  <si>
    <t>2.14.2.4.4</t>
  </si>
  <si>
    <t>Услуги ИТ - приобретение программных продуктов (в т.ч. лиценз. соглашения)</t>
  </si>
  <si>
    <t>2.14.2.4.5</t>
  </si>
  <si>
    <t>Услуги ИТ - прочие</t>
  </si>
  <si>
    <t>2.14.2.4.6</t>
  </si>
  <si>
    <t>Услуги нотариальные</t>
  </si>
  <si>
    <t>2.14.2.6</t>
  </si>
  <si>
    <t>Услуги консультационные</t>
  </si>
  <si>
    <t>2.14.2.8</t>
  </si>
  <si>
    <t>Услуги консультационные - финансовые и бухгалтерские консультации(кроме консультаций в области МСФО)</t>
  </si>
  <si>
    <t>2.14.2.8.8</t>
  </si>
  <si>
    <t xml:space="preserve">Услуги консультационные - по расчету норматива потерь </t>
  </si>
  <si>
    <t>Услуги консультационные - другие</t>
  </si>
  <si>
    <t>2.14.2.8.12</t>
  </si>
  <si>
    <t>Услуги физической охраны и инженерно-технического обслуживания</t>
  </si>
  <si>
    <t>2.14.2.9</t>
  </si>
  <si>
    <t>Услуги пожарной охраны - техническое обслуживание автоматических установок пожаротушения и пожарной сигнализации</t>
  </si>
  <si>
    <t>2.14.2.10</t>
  </si>
  <si>
    <t>Услуги пожарной охраны - прочие</t>
  </si>
  <si>
    <t>2.14.2.12</t>
  </si>
  <si>
    <t>Услуги PR, СМИ, рекламы</t>
  </si>
  <si>
    <t>2.14.2.13</t>
  </si>
  <si>
    <t>Услуги СМИ</t>
  </si>
  <si>
    <t>2.14.2.13.3</t>
  </si>
  <si>
    <t>Прочие работы и услуги сторонних организаций</t>
  </si>
  <si>
    <t>2.14.2.14</t>
  </si>
  <si>
    <t>Услуги типографии и типографская продукция</t>
  </si>
  <si>
    <t>2.14.2.14.1</t>
  </si>
  <si>
    <t>Услуги по предрейсовому медосмотру водителей транспорта административно-хозяйственного назначения</t>
  </si>
  <si>
    <t>2.14.2.14.2</t>
  </si>
  <si>
    <t>Услуги по предрейсовому медосмотру водителей транспорта производственного назначения</t>
  </si>
  <si>
    <t>2.14.2.14.3</t>
  </si>
  <si>
    <t>Услуги по техосмотру, инструментальному контролю и перерегистрации транспорта административно-хозяйственного назначения</t>
  </si>
  <si>
    <t>2.14.2.14.4</t>
  </si>
  <si>
    <t>Услуги по техосмотру, инструментальному контролю и перерегистрации транспорта производственного назначения</t>
  </si>
  <si>
    <t>2.14.2.14.5</t>
  </si>
  <si>
    <t>Услуги информационные по предоставлению метеоданных</t>
  </si>
  <si>
    <t>2.14.2.14.6</t>
  </si>
  <si>
    <t>Услуги по сертификации и контролю качества электроэнергии</t>
  </si>
  <si>
    <t>2.14.2.14.9</t>
  </si>
  <si>
    <t>Услуги по сертификации систем менеджмента</t>
  </si>
  <si>
    <t>2.14.2.14.10</t>
  </si>
  <si>
    <t>прочие услуги сторонних организаций</t>
  </si>
  <si>
    <t>Командировочные и представительские затраты</t>
  </si>
  <si>
    <t>2.14.3</t>
  </si>
  <si>
    <t>Командировочные по повышению квалификации</t>
  </si>
  <si>
    <t>2.14.3.1</t>
  </si>
  <si>
    <t>Командировочные расходы по повышению квалификации - суточные</t>
  </si>
  <si>
    <t>2.14.3.1.1</t>
  </si>
  <si>
    <t>Командировочные расходы по повышению квалификации - проживание</t>
  </si>
  <si>
    <t>2.14.3.1.2</t>
  </si>
  <si>
    <t>Командировочные расходы по повышению квалификации - проезд железнодорожным транспортом</t>
  </si>
  <si>
    <t>2.14.3.1.3</t>
  </si>
  <si>
    <t>Командировочные расходы по повышению квалификации - проезд воздушным транспортом</t>
  </si>
  <si>
    <t>2.14.3.1.4</t>
  </si>
  <si>
    <t>Командировочные расходы по повышению квалификации - проезд прочим транспортом</t>
  </si>
  <si>
    <t>2.14.3.1.5</t>
  </si>
  <si>
    <t>Командировочные производственного назначения</t>
  </si>
  <si>
    <t>2.14.3.2</t>
  </si>
  <si>
    <t>Командировочные расходы производственные - суточные</t>
  </si>
  <si>
    <t>2.14.3.2.1</t>
  </si>
  <si>
    <t>Командировочные расходы производственные - проживание</t>
  </si>
  <si>
    <t>2.14.3.2.2</t>
  </si>
  <si>
    <t>Командировочные расходы производственные - проезд железнодорожным транспортом</t>
  </si>
  <si>
    <t>2.14.3.2.3</t>
  </si>
  <si>
    <t>Командировочные расходы производственные - проезд воздушным транспортом</t>
  </si>
  <si>
    <t>2.14.3.2.4</t>
  </si>
  <si>
    <t>Командировочные расходы производственные - проезд прочим транспортом</t>
  </si>
  <si>
    <t>2.14.3.2.5</t>
  </si>
  <si>
    <t>Представительские расходы</t>
  </si>
  <si>
    <t>Затраты по страхованию</t>
  </si>
  <si>
    <t>2.14.7</t>
  </si>
  <si>
    <t>Страхование гражданской ответственности владельцев автотранспортных средств (ОСАГО)</t>
  </si>
  <si>
    <t>2.14.7.1</t>
  </si>
  <si>
    <t>Страхование гражданской ответственности организаций, эксплуатирующих опасные объекты</t>
  </si>
  <si>
    <t>2.14.7.3</t>
  </si>
  <si>
    <t>Страхование имущества кроме транспортных средств</t>
  </si>
  <si>
    <t>2.14.7.5</t>
  </si>
  <si>
    <t>Страхование средств автотранспорта (КАСКО)</t>
  </si>
  <si>
    <t>2.14.7.6</t>
  </si>
  <si>
    <t>Добровольное страхование сотрудников от несчастных случаев и болезней</t>
  </si>
  <si>
    <t>2.14.7.8</t>
  </si>
  <si>
    <t>Добровольное медицинское страхование сотрудников (ДМС)</t>
  </si>
  <si>
    <t>2.14.7.9</t>
  </si>
  <si>
    <t>Затраты  на экологию (кроме налогов и сборов)</t>
  </si>
  <si>
    <t>2.14.10</t>
  </si>
  <si>
    <t>Другие затраты</t>
  </si>
  <si>
    <t>2.14.11</t>
  </si>
  <si>
    <t>Затраты по управлению собственностью</t>
  </si>
  <si>
    <t>2.14.11.1</t>
  </si>
  <si>
    <t>Затраты по управлению собственностью - межевание земельных участков</t>
  </si>
  <si>
    <t>2.14.11.1.1</t>
  </si>
  <si>
    <t>Затраты по управлению собственностью - установление охранных зон</t>
  </si>
  <si>
    <t>Затраты по управлению собственностью - изготовление технических планов и кадастровых паспортов на объекты недвижимости</t>
  </si>
  <si>
    <t>2.14.11.1.3</t>
  </si>
  <si>
    <t>Затраты по управлению собственностью - затраты на гос.регистрацию прав (аренды) на земельные участки</t>
  </si>
  <si>
    <t>2.14.11.1.4</t>
  </si>
  <si>
    <t>Затраты по управлению собственностью - другие</t>
  </si>
  <si>
    <t>Услуги почты и телеграфа</t>
  </si>
  <si>
    <t>2.14.11.2</t>
  </si>
  <si>
    <t>Затраты на приобретение технической, экономической литературы</t>
  </si>
  <si>
    <t>2.14.11.3</t>
  </si>
  <si>
    <t>Затраты на подписку периодических изданий</t>
  </si>
  <si>
    <t>2.14.11.4</t>
  </si>
  <si>
    <t>Канцелярские затраты</t>
  </si>
  <si>
    <t>2.14.11.5</t>
  </si>
  <si>
    <t>Затраты по охране труда</t>
  </si>
  <si>
    <t>2.14.11.6</t>
  </si>
  <si>
    <t>Затраты на охрану труда - мероприятия по предупреждению несчастных случаев</t>
  </si>
  <si>
    <t>2.14.11.6.1</t>
  </si>
  <si>
    <t>Затраты на охрану труда - мероприятия по предупреждению заболеваний на производстве</t>
  </si>
  <si>
    <t>2.14.11.6.2</t>
  </si>
  <si>
    <t>Услуги по аттестации объекта информатизации, технической защите информации, составляющей государственную тайну</t>
  </si>
  <si>
    <t>2.14.11.8</t>
  </si>
  <si>
    <t>Прочие расходы из прибыли РСК</t>
  </si>
  <si>
    <t>Расходы социального характера - работникам</t>
  </si>
  <si>
    <t>9.17</t>
  </si>
  <si>
    <t>Расходы Материальная помощь всех видов работникам</t>
  </si>
  <si>
    <t>9.17.1</t>
  </si>
  <si>
    <t>Расходы Компенсация затрат всех видов работникам</t>
  </si>
  <si>
    <t>9.17.2</t>
  </si>
  <si>
    <t>Расходы Компенсация (оплата) расходов по приобретению путёвок</t>
  </si>
  <si>
    <t>9.17.2.1</t>
  </si>
  <si>
    <t>Расходы Компенсации затрат работникам прочие</t>
  </si>
  <si>
    <t>9.17.2.2</t>
  </si>
  <si>
    <t>Выплаты социального характера  - пенсионерам и сторонним лицам</t>
  </si>
  <si>
    <t>9.19</t>
  </si>
  <si>
    <t>Материальная помощь семье на погребение пенсионеров (ветеранов)</t>
  </si>
  <si>
    <t>9.19.2</t>
  </si>
  <si>
    <t>Материальная помощь несовершеннолетним детям погибщего на производстве работника до достижения ими возраста 18 лет, или оплата обучения на дневном отд</t>
  </si>
  <si>
    <t>9.19.3</t>
  </si>
  <si>
    <t>Расходы Материальная помощь неработающим пенсионерам (ветеранам)</t>
  </si>
  <si>
    <t>9.19.5</t>
  </si>
  <si>
    <t>Расходы Материальная помощь участникам ВОВ</t>
  </si>
  <si>
    <t>9.19.6</t>
  </si>
  <si>
    <t>Расходы Материальная помощь пенсионерам ко Дню энергетика</t>
  </si>
  <si>
    <t>9.19.8</t>
  </si>
  <si>
    <t>Расходы Доплата к трудовой пенсии по инвалидности, полученной по вине работодателя</t>
  </si>
  <si>
    <t>9.19.11</t>
  </si>
  <si>
    <t>Прочие расходы из прибыли ИА</t>
  </si>
  <si>
    <t>Расходы на аренду жилья</t>
  </si>
  <si>
    <t>9.18</t>
  </si>
  <si>
    <t>Тепловая на производственные и хозяйственные нужды</t>
  </si>
  <si>
    <t>2.1.3.2</t>
  </si>
  <si>
    <t>Покупная электроэнергия (розничный рынок)</t>
  </si>
  <si>
    <t>2.1.2</t>
  </si>
  <si>
    <t>Покупная электроэнергия (розничный рынок) на компенсацию потерь (для передачи электроэнергии)</t>
  </si>
  <si>
    <t>2.1.2.1</t>
  </si>
  <si>
    <t>Покупная электроэнергия (розничный рынок) на компенсацию потерь нагрузочные потери</t>
  </si>
  <si>
    <t>2.1.2.3</t>
  </si>
  <si>
    <t>Услуги сетевых компаний по передаче электроэнергии</t>
  </si>
  <si>
    <t>2.2.3</t>
  </si>
  <si>
    <t>Услуги ПАО "ФСК ЕЭС" по передаче электроэнергии по сетям ЕНЭС</t>
  </si>
  <si>
    <t>2.2.3.1</t>
  </si>
  <si>
    <t>Услуги ФСК ЕЭС  по ставке на содержание сетей</t>
  </si>
  <si>
    <t>2.2.3.1.1</t>
  </si>
  <si>
    <t>Услуги ФСК ЕЭС  по ставке на оплату потерь электроэнергии</t>
  </si>
  <si>
    <t>2.2.3.1.2</t>
  </si>
  <si>
    <t>Услуги ФСК ЕЭС  нагрузочные потери</t>
  </si>
  <si>
    <t>2.2.3.1.3</t>
  </si>
  <si>
    <t>Страховые взносы</t>
  </si>
  <si>
    <t>2.11</t>
  </si>
  <si>
    <t>Страховые взносы с учетом резервов на обязательное пенсионное страхование ПФ РФ (страховая часть)</t>
  </si>
  <si>
    <t>2.11.1.</t>
  </si>
  <si>
    <t>Страховые взносы на обязательное пенсионное страхование ПФ РФ (страховая часть)</t>
  </si>
  <si>
    <t>2.11.1.1</t>
  </si>
  <si>
    <t>Страховые взносы на обязательное пенсионное страхование ПФ РФ (страховая часть) (резерв на выплату вознаграждений по итогам года)</t>
  </si>
  <si>
    <t>2.11.1.2</t>
  </si>
  <si>
    <t>Страховые взносы на обязательное пенсионное страхование ПФ РФ (страховая часть) (резерв на выплату вознаграждений по итогам квартала)</t>
  </si>
  <si>
    <t>2.11.1.3</t>
  </si>
  <si>
    <t>Страховые взносы на обязательное пенсионное страхование ПФ РФ (страховая часть) (резерв на выплату вознаграждений по итогам месяца)</t>
  </si>
  <si>
    <t>2.11.1.4</t>
  </si>
  <si>
    <t>Страховые взносы на обязательное пенсионное страхование ПФ РФ (страховая часть) (резерв на оплату отпусков)</t>
  </si>
  <si>
    <t>2.11.1.5</t>
  </si>
  <si>
    <t>Страховые взносы с учетом резервов на ОМС ФФОМС</t>
  </si>
  <si>
    <t>2.11.3.</t>
  </si>
  <si>
    <t>Страховые взносы на обязательное медицинское страхование ФФОМС</t>
  </si>
  <si>
    <t>2.11.3.1</t>
  </si>
  <si>
    <t>Страховые взносы ОМС ФФОМС (резерв на выплату вознаграждений по итогам года)</t>
  </si>
  <si>
    <t>2.11.3.2</t>
  </si>
  <si>
    <t>Страховые взносы ОМС ФФОМС (резерв на выплату вознаграждений по итогам квартала)</t>
  </si>
  <si>
    <t>2.11.3.3</t>
  </si>
  <si>
    <t>Страховые взносы ОМС ФФОМС (резерв на выплату вознаграждений по итогам месяца)</t>
  </si>
  <si>
    <t>2.11.3.4</t>
  </si>
  <si>
    <t>Страховые взносы ОМС ФФОМС (резерв на оплату отпусков)</t>
  </si>
  <si>
    <t>2.11.3.5</t>
  </si>
  <si>
    <t>Страховые взносы с учетом резервов на обязательное страхование от НС и ПЗ в ФСС</t>
  </si>
  <si>
    <t>2.11.5.</t>
  </si>
  <si>
    <t>Страховые взносы на обязательное страхование от НС и ПЗ в ФСС</t>
  </si>
  <si>
    <t>2.11.5.1</t>
  </si>
  <si>
    <t>Страховые взносы на обязательное страхование от НС и ПЗ ФСС (резерв на выплату вознаграждений по итогам года)</t>
  </si>
  <si>
    <t>2.11.5.2</t>
  </si>
  <si>
    <t>Страховые взносы на обязательное страхование от НС и ПЗ ФСС (резерв на выплату вознаграждений по итогам квартала)</t>
  </si>
  <si>
    <t>2.11.5.3</t>
  </si>
  <si>
    <t>Страховые взносы на обязательное страхование от НС и ПЗ ФСС (резерв на выплату вознаграждений по итогам месяца)</t>
  </si>
  <si>
    <t>2.11.5.4</t>
  </si>
  <si>
    <t>Страховые взносы на обязательное страхование от НС и ПЗ ФСС (резерв на оплату отпусков)</t>
  </si>
  <si>
    <t>2.11.5.5</t>
  </si>
  <si>
    <t>Страховые взносы с учетом резервов на случай временной нетрудоспособности и в связи с материнством ФСС</t>
  </si>
  <si>
    <t>2.11.6.</t>
  </si>
  <si>
    <t>Страховые взносы на случай временной нетрудоспособности и в связи с материнством ФСС</t>
  </si>
  <si>
    <t>2.11.6.1</t>
  </si>
  <si>
    <t>Страховые взносы на случай временной нетрудоспособности и в связи с материнством ФСС (резерв на выплату вознаграждений по итогам года)</t>
  </si>
  <si>
    <t>2.11.6.2</t>
  </si>
  <si>
    <t>Страховые взносы на случай временной нетрудоспособности и в связи с материнством ФСС (резерв на выплату вознаграждений по итогам квартала)</t>
  </si>
  <si>
    <t>2.11.6.3</t>
  </si>
  <si>
    <t>Страховые взносы на случай временной нетрудоспособности и в связи с материнством ФСС (резерв на выплату вознаграждений по итогам месяца)</t>
  </si>
  <si>
    <t>2.11.6.4</t>
  </si>
  <si>
    <t>Страховые взносы на случай временной нетрудоспособности и в связи с материнством ФСС (резерв на оплату отпусков)</t>
  </si>
  <si>
    <t>2.11.6.5</t>
  </si>
  <si>
    <t>Арендная плата</t>
  </si>
  <si>
    <t>2.14.4</t>
  </si>
  <si>
    <t>Аренда земельных участков под производственными и административными объектами</t>
  </si>
  <si>
    <t>2.14.4.1</t>
  </si>
  <si>
    <t>Аренда недвижимого имущества (производственного назначения)</t>
  </si>
  <si>
    <t>2.14.4.3</t>
  </si>
  <si>
    <t>Аренда автотранспорта производственного назначения и спецтехники</t>
  </si>
  <si>
    <t>2.14.4.6</t>
  </si>
  <si>
    <t>Аренда ЛЭП и оборудования</t>
  </si>
  <si>
    <t>2.14.4.8</t>
  </si>
  <si>
    <t>Налоги и сборы</t>
  </si>
  <si>
    <t>2.14.8</t>
  </si>
  <si>
    <t>Земельный налог</t>
  </si>
  <si>
    <t>2.14.8.2</t>
  </si>
  <si>
    <t>Транспортный налог</t>
  </si>
  <si>
    <t>2.14.8.3</t>
  </si>
  <si>
    <t>Налог на имущество организаций</t>
  </si>
  <si>
    <t>2.14.8.4</t>
  </si>
  <si>
    <t>Экологические платежи за загрязнение окружающей среды (в пределах лимитов выбросов)</t>
  </si>
  <si>
    <t>2.14.8.5</t>
  </si>
  <si>
    <t>Экологические платежи за загрязнение окружающей среды (сверх лимитов выбросов)</t>
  </si>
  <si>
    <t>2.14.8.6</t>
  </si>
  <si>
    <t>Плата за возмещение вреда дорогам федерального значения</t>
  </si>
  <si>
    <t>2.14.8.7</t>
  </si>
  <si>
    <t>Амортизация основных средств и НМА</t>
  </si>
  <si>
    <t>2.13</t>
  </si>
  <si>
    <t>Амортизация НМА</t>
  </si>
  <si>
    <t>2.13.1</t>
  </si>
  <si>
    <t>Амортизация ОС для передачи высокого напряжения (ВН)</t>
  </si>
  <si>
    <t>2.13.2</t>
  </si>
  <si>
    <t>Амортизация ОС для передачи среднего напряжения (СН1)</t>
  </si>
  <si>
    <t>2.13.3</t>
  </si>
  <si>
    <t>Амортизация ОС для передачи второго среднего напряжения (СН2)</t>
  </si>
  <si>
    <t>2.13.4</t>
  </si>
  <si>
    <t>Амортизация ОС для передачи низкого напряжения (НН)</t>
  </si>
  <si>
    <t>2.13.5</t>
  </si>
  <si>
    <t>Амортизация прочих ОС</t>
  </si>
  <si>
    <t>2.13.6</t>
  </si>
  <si>
    <t>Выпадающие доходы от льготного ТП</t>
  </si>
  <si>
    <t>Проценты к уплате</t>
  </si>
  <si>
    <t>Расходы Проценты по долгосрочным кредитам</t>
  </si>
  <si>
    <t>7.2</t>
  </si>
  <si>
    <t>Расходы Проценты по краткосрочным кредитам</t>
  </si>
  <si>
    <t>7.4</t>
  </si>
  <si>
    <t>Расходы Процентные расходы по облигациям (купон)</t>
  </si>
  <si>
    <t>7.7</t>
  </si>
  <si>
    <t>Расходы Проценты за пользование чужими денежными средствами по соглашениям о реструктуризации задолженности</t>
  </si>
  <si>
    <t>7.9</t>
  </si>
  <si>
    <t>Расходы Прочие процентные расходы</t>
  </si>
  <si>
    <t>Расходы от реализации ОС, квартир, МПЗ, НМА, др. активов</t>
  </si>
  <si>
    <t>9.2</t>
  </si>
  <si>
    <t>Расходы от реализация МПЗ</t>
  </si>
  <si>
    <t>9.2.3</t>
  </si>
  <si>
    <t>Расходы Оплата услуг кредитных организаций</t>
  </si>
  <si>
    <t>9.4</t>
  </si>
  <si>
    <t>Расходы Оплата услуг кредитных организаций (РКО)</t>
  </si>
  <si>
    <t>9.4.1</t>
  </si>
  <si>
    <t>Расходы Отчисления в оценочные резервы</t>
  </si>
  <si>
    <t>9.5</t>
  </si>
  <si>
    <t>Расходы Резерв по сомнительным долгам</t>
  </si>
  <si>
    <t>9.5.1</t>
  </si>
  <si>
    <t>Расходы Резерв под снижение стоимости материальных ценностей</t>
  </si>
  <si>
    <t>9.5.3</t>
  </si>
  <si>
    <t>Расходы Содержание законсервированных объектов</t>
  </si>
  <si>
    <t>9.10</t>
  </si>
  <si>
    <t>Расходы Штрафы, пени, неустойки</t>
  </si>
  <si>
    <t>9.12</t>
  </si>
  <si>
    <t>Расходы Штрафы, пени, неустойки по хозяйственным договорам признанные</t>
  </si>
  <si>
    <t>9.12.1</t>
  </si>
  <si>
    <t>Расходы Штрафы, пени, неустойки по хозяйственным договорам признанные сбытовая деятельность</t>
  </si>
  <si>
    <t>9.12.2</t>
  </si>
  <si>
    <t>Расходы Проценты по договорам реструктуризации</t>
  </si>
  <si>
    <t>Расходы Проценты за пользование чужими денежными средствами и по договорам реструктуризации</t>
  </si>
  <si>
    <t>9.13</t>
  </si>
  <si>
    <t>Расходы Проценты за пользование чужими денежными средствами</t>
  </si>
  <si>
    <t>9.13.1</t>
  </si>
  <si>
    <t>Убыток прошлых лет, выявленный в отчетном периоде</t>
  </si>
  <si>
    <t>9.14</t>
  </si>
  <si>
    <t>Расходы: Округление копеек</t>
  </si>
  <si>
    <t>9.16</t>
  </si>
  <si>
    <t>Содержание социальной сферы за счет прибыли</t>
  </si>
  <si>
    <t>9.20</t>
  </si>
  <si>
    <t>Расходы на проведение спортивных мероприятий</t>
  </si>
  <si>
    <t>9.20.4</t>
  </si>
  <si>
    <t>Расходы на проведение  культурно-просветительных мероприятий</t>
  </si>
  <si>
    <t>9.20.5</t>
  </si>
  <si>
    <t>Расходы на отчисления профсоюзу по локальным нормативным актам</t>
  </si>
  <si>
    <t>9.20.6</t>
  </si>
  <si>
    <t>Расходы на празднование Дня энергетика и Нового года</t>
  </si>
  <si>
    <t>9.20.7</t>
  </si>
  <si>
    <t>Расходы Детские новогодние подарки</t>
  </si>
  <si>
    <t>9.20.8</t>
  </si>
  <si>
    <t>Фонд заработной платы непроизводственного характера</t>
  </si>
  <si>
    <t>9.21</t>
  </si>
  <si>
    <t>Прочие расходы</t>
  </si>
  <si>
    <t>9.27</t>
  </si>
  <si>
    <t>Расходы Судебные издержки</t>
  </si>
  <si>
    <t>9.27.5</t>
  </si>
  <si>
    <t>Расходы прочие (чрезвычайные)</t>
  </si>
  <si>
    <t>9.27.9</t>
  </si>
  <si>
    <t>Расходы прочие по чрезвычайным обстоятельствам</t>
  </si>
  <si>
    <t>9.27.9.3</t>
  </si>
  <si>
    <t>Государственная пошлина и прочие сборы</t>
  </si>
  <si>
    <t>9.27.11</t>
  </si>
  <si>
    <t>Расходы Госпошлины по хозяйственным договорам</t>
  </si>
  <si>
    <t>9.27.11.1</t>
  </si>
  <si>
    <t>Расходы Госпошлины, уплачиваемые за предоставление сведений из государственных реестров</t>
  </si>
  <si>
    <t>9.27.11.2</t>
  </si>
  <si>
    <t>Расходы Госпошлины/сборы, уплачиваемые за получение лицензий и разрешений</t>
  </si>
  <si>
    <t>9.27.11.3</t>
  </si>
  <si>
    <t>Расходы Госпошлины, уплачиваемые при подаче любых заявлений в суд (кроме первоначальных исков по хозяйственным договорам)</t>
  </si>
  <si>
    <t>9.27.11.4</t>
  </si>
  <si>
    <t>Расходы Госпошлины, уплачиваемые за оформление/переоформление прочих документов</t>
  </si>
  <si>
    <t>9.27.11.6</t>
  </si>
  <si>
    <t>Расходы по проведению совещаний, семинаров, конкурсов</t>
  </si>
  <si>
    <t>9.27.12</t>
  </si>
  <si>
    <t>Расходы на СМИ, PR</t>
  </si>
  <si>
    <t>9.27.13</t>
  </si>
  <si>
    <t>Расходы Услуги типографии и типографская продукция по направлению СМИ и PR</t>
  </si>
  <si>
    <t>9.27.15</t>
  </si>
  <si>
    <t>Расходы по ликвидации (списанию) объектов ОС, НЗС</t>
  </si>
  <si>
    <t>9.27.20</t>
  </si>
  <si>
    <t>Расходы на содержание непроизводственных объектов</t>
  </si>
  <si>
    <t>9.27.21</t>
  </si>
  <si>
    <t>Списание неликвидных ТМЦ</t>
  </si>
  <si>
    <t>9.27.23</t>
  </si>
  <si>
    <t>Расходы Вода питьевая</t>
  </si>
  <si>
    <t>9.27.24</t>
  </si>
  <si>
    <t>Расходы Командировочные расходы непроизводственного характера</t>
  </si>
  <si>
    <t>9.27.25</t>
  </si>
  <si>
    <t>Расходы Списание ТМЦ непроизводственного характера</t>
  </si>
  <si>
    <t>9.27.29</t>
  </si>
  <si>
    <t>Расходы по выявленному бездоговорному потреблению электроэнергии, кроме расходов на покупную электроэнергию</t>
  </si>
  <si>
    <t>9.27.31</t>
  </si>
  <si>
    <t>Расходы Услуги оценщиков: оценка имущества, арендной платы, актуализация оценки</t>
  </si>
  <si>
    <t>9.27.37</t>
  </si>
  <si>
    <t>Расходы Страховые взносы</t>
  </si>
  <si>
    <t>9.27.42</t>
  </si>
  <si>
    <t>Расходы Страховые взносы на обязательное пенсионное страхование  ПФ РФ (страховая часть)</t>
  </si>
  <si>
    <t>9.27.42.1</t>
  </si>
  <si>
    <t>Расходы Страховые взносы на обязательное медицинское страхование ФФОМС</t>
  </si>
  <si>
    <t>9.27.42.3</t>
  </si>
  <si>
    <t>Расходы Страховые взносы на обязательное страхование от НС и ПЗ в ФСС</t>
  </si>
  <si>
    <t>9.27.42.5</t>
  </si>
  <si>
    <t>Расходы Страховые взносы на случай временной нетрудоспособности и в связи с материнством ФСС</t>
  </si>
  <si>
    <t>9.27.42.6</t>
  </si>
  <si>
    <t>Возмещаемые расходы</t>
  </si>
  <si>
    <t>9.27.43</t>
  </si>
  <si>
    <t>Расходы возмещение причиненного ущерба морального и материального по решению суда</t>
  </si>
  <si>
    <t>9.27.43.2</t>
  </si>
  <si>
    <t>Расходы другие налоги</t>
  </si>
  <si>
    <t>9.27.45</t>
  </si>
  <si>
    <t>Расходы на восстановление имущества (страховые случаи)</t>
  </si>
  <si>
    <t>9.27.57</t>
  </si>
  <si>
    <t>Прочие другие расходы</t>
  </si>
  <si>
    <t>9.27.58</t>
  </si>
  <si>
    <t>Налог на прибыль и иные аналогичные обязательные платежи</t>
  </si>
  <si>
    <t>Налог на приб_Иные аналогичные обязательные платежи</t>
  </si>
  <si>
    <t>11.2</t>
  </si>
  <si>
    <t>Постоянное налоговое обязательство</t>
  </si>
  <si>
    <t>Доходы от реализации ОС, квартир, МПЗ, НМА,  других активов</t>
  </si>
  <si>
    <t>8.2</t>
  </si>
  <si>
    <t>Доходы от реализация МПЗ</t>
  </si>
  <si>
    <t>8.2.3</t>
  </si>
  <si>
    <t>Доходы Штрафы, пени, неустойки</t>
  </si>
  <si>
    <t>8.5</t>
  </si>
  <si>
    <t>Доходы Штрафы, пени, неустойки по хозяйственным договорам признанные</t>
  </si>
  <si>
    <t>8.5.1</t>
  </si>
  <si>
    <t>Доходы Штрафы, пени, неустойки по хозяйственным договорам признанные сбытовая деятельность</t>
  </si>
  <si>
    <t>8.5.2</t>
  </si>
  <si>
    <t>Доходы Проценты за пользование чужими денежными средствами и по договорам реструктуризации</t>
  </si>
  <si>
    <t>8.6</t>
  </si>
  <si>
    <t>Доходы Проценты за пользование чужими денежными средствами</t>
  </si>
  <si>
    <t>8.6.1</t>
  </si>
  <si>
    <t>Прибыль прошлых лет, выявленная в отчетном периоде</t>
  </si>
  <si>
    <t>8.7</t>
  </si>
  <si>
    <t>Доходы Списание кредиторской/депонентской задолженности</t>
  </si>
  <si>
    <t>8.11</t>
  </si>
  <si>
    <t>8.11.1</t>
  </si>
  <si>
    <t>Доходы: Округление копеек</t>
  </si>
  <si>
    <t>8.12</t>
  </si>
  <si>
    <t>Доходы в виде сумм восстановленных резервов</t>
  </si>
  <si>
    <t>8.14</t>
  </si>
  <si>
    <t>Доход от уменьшения (списания) резерва по сомнительным долгам</t>
  </si>
  <si>
    <t>8.14.1</t>
  </si>
  <si>
    <t>Доход от уменьшения (списания) резерва под снижение стоимости МПЗ</t>
  </si>
  <si>
    <t>8.14.3</t>
  </si>
  <si>
    <t>Доходы в виде сумм восстановленного резерва на оплату вознаграждения по итогам работы за год и иных премий (с учётом обязательных страховых взносов)</t>
  </si>
  <si>
    <t>8.14.5</t>
  </si>
  <si>
    <t>Возмещаемые доходы</t>
  </si>
  <si>
    <t>8.16</t>
  </si>
  <si>
    <t>Доходы: возмещение судебных издержек</t>
  </si>
  <si>
    <t>8.16.1</t>
  </si>
  <si>
    <t>Доходы: возмещение фактических затрат сторонними организациями и физлицами</t>
  </si>
  <si>
    <t>8.16.4</t>
  </si>
  <si>
    <t>Доходы по выявленному бездоговорному потреблению электроэнергии - покупная электроэнергия</t>
  </si>
  <si>
    <t>8.21</t>
  </si>
  <si>
    <t>Доходы (проценты) за рассрочку (отсрочку) платежей</t>
  </si>
  <si>
    <t>8.23</t>
  </si>
  <si>
    <t>Доходы ТМЦ, оприходованные в результате списания (ликвидации) ОС и НЗС</t>
  </si>
  <si>
    <t>8.24</t>
  </si>
  <si>
    <t>Доходы ТМЦ, оприходованные в результате капитального ремонта/строительства ОС</t>
  </si>
  <si>
    <t>8.25</t>
  </si>
  <si>
    <t>Доходы Страховые выплаты к получению по страхованию гражданской ответственности</t>
  </si>
  <si>
    <t>8.27</t>
  </si>
  <si>
    <t>Доходы Страховые выплаты к получению по страхованию имущества</t>
  </si>
  <si>
    <t>8.28</t>
  </si>
  <si>
    <t>Доходы Остальные другие прочие доходы</t>
  </si>
  <si>
    <t>8.36</t>
  </si>
  <si>
    <t>Прочие доходы ИА</t>
  </si>
  <si>
    <t>Услуги аудиторские (энергоаудит)</t>
  </si>
  <si>
    <t>Расходы на обучение, вкулюча стипендии, на подготовку и перподготовку работников в штате и вне штата</t>
  </si>
  <si>
    <t>Расшифровка статьи 1.1.3.3.</t>
  </si>
  <si>
    <t>N 
п/п</t>
  </si>
  <si>
    <t>Показатель</t>
  </si>
  <si>
    <t>Ед.изм.</t>
  </si>
  <si>
    <t>план</t>
  </si>
  <si>
    <t xml:space="preserve">в том числе прочие расходы </t>
  </si>
  <si>
    <t>1.1.3.3.1</t>
  </si>
  <si>
    <t>Электроэнергия на хознужды</t>
  </si>
  <si>
    <t>тыс.руб.</t>
  </si>
  <si>
    <t>1.1.3.3.2</t>
  </si>
  <si>
    <t>Услуги связи</t>
  </si>
  <si>
    <t>1.1.3.3.3</t>
  </si>
  <si>
    <t xml:space="preserve">Расходы на услуги вневедомственной охраны </t>
  </si>
  <si>
    <t>1.1.3.3.4</t>
  </si>
  <si>
    <t>Расходы на услуги коммунального хозяйства</t>
  </si>
  <si>
    <t>1.1.3.3.5</t>
  </si>
  <si>
    <t>Расходы на юридические, информационные, аудиторские, консультационные услуги, прочие услуги сторонних организаций</t>
  </si>
  <si>
    <t>1.1.3.3.6</t>
  </si>
  <si>
    <t>1.1.3.3.7</t>
  </si>
  <si>
    <t>1.1.3.3.8</t>
  </si>
  <si>
    <t>1.1.3.3.9</t>
  </si>
  <si>
    <t>расходы на страхование</t>
  </si>
  <si>
    <t>1.1.3.3.12</t>
  </si>
  <si>
    <t>Расходы ПАО "Россети"</t>
  </si>
  <si>
    <t>1.2.12.1</t>
  </si>
  <si>
    <t>1.2.12.2</t>
  </si>
  <si>
    <t>1.2.12.3</t>
  </si>
  <si>
    <t>1.2.12.4</t>
  </si>
  <si>
    <t>Канцелярские, почтово-телеграфные расходы, подписка, приобретение тех.литературы</t>
  </si>
  <si>
    <t>факт</t>
  </si>
  <si>
    <t>Услуги подрядчиков по ремонту производственных зданий и сооружений</t>
  </si>
  <si>
    <t>2.2.1.2.2</t>
  </si>
  <si>
    <t>Услуги по чистке трасс (уничтожение ДКР)</t>
  </si>
  <si>
    <t>2.2.6.2</t>
  </si>
  <si>
    <t>2.2.6.8</t>
  </si>
  <si>
    <t>Прочие услуги производственного характера - другие</t>
  </si>
  <si>
    <t>Расходы Госпошлины, уплачиваемые при регистрации и перерегистрации транспорта, в случае, когда их стоимость не включена в стоимость ОС</t>
  </si>
  <si>
    <t>Расходы Госпошлины, уплачиваемые при регистрации и перерегистрации недвижимости, в случае, когда их стоимость не включена в стоимость ОС</t>
  </si>
  <si>
    <t>Расходы Демонтаж и ликвидация нераспределенных объектов совместной деятельности</t>
  </si>
  <si>
    <t xml:space="preserve">Доходы: возмещение причиненного ущерба морального и материального по решению суда </t>
  </si>
  <si>
    <t>Доходы по выявленному бездоговорному потреблению электроэнергии, кроме расходов на покупную электроэнергию</t>
  </si>
  <si>
    <t>Доходы от безвозмездно полученных ОС, определяемые в установленном порядке</t>
  </si>
  <si>
    <t>Услуги подрядчиков по ремонту прочих технических средств</t>
  </si>
  <si>
    <t>2.2.1.2.10</t>
  </si>
  <si>
    <t>Услуги энергосервисные по снижению потерь</t>
  </si>
  <si>
    <t>2.2.6.10</t>
  </si>
  <si>
    <t>Расходы Вознаграждение по агентским и комиссионным договорам</t>
  </si>
  <si>
    <t>9.27.36</t>
  </si>
  <si>
    <t>Доходы от реализации ОС, кроме  квартир</t>
  </si>
  <si>
    <t>Валовая прибыль(убыток)</t>
  </si>
  <si>
    <t>Управленческие расходы</t>
  </si>
  <si>
    <t xml:space="preserve">Прочие доходы </t>
  </si>
  <si>
    <t xml:space="preserve">          РСК</t>
  </si>
  <si>
    <t xml:space="preserve">          ИА</t>
  </si>
  <si>
    <t>% к получению</t>
  </si>
  <si>
    <t>% к  уплате</t>
  </si>
  <si>
    <t>Прибыль до НО</t>
  </si>
  <si>
    <t xml:space="preserve">Налог на прибыль </t>
  </si>
  <si>
    <t>Чистая прибыль(убыток)</t>
  </si>
  <si>
    <t>выпадающие ТПП</t>
  </si>
  <si>
    <t>фактический финансовый результат филиала</t>
  </si>
  <si>
    <t>1.3.1..</t>
  </si>
  <si>
    <t>1.3.2.</t>
  </si>
  <si>
    <t>1.3.3.</t>
  </si>
  <si>
    <t>Пояснения</t>
  </si>
  <si>
    <t>млн.кВт.ч</t>
  </si>
  <si>
    <t>снижение фин.рез-та на выпадающие ТПП (фактические выпадающие по ТП в соответствии с п.87 Основ ценообразования отражены в составе неподконтрольных расходов)</t>
  </si>
  <si>
    <t>1.2.12.4.1</t>
  </si>
  <si>
    <t>1.2.12.4.2</t>
  </si>
  <si>
    <t>1.2.12.4.4</t>
  </si>
  <si>
    <t>1.1.3.3.15.1</t>
  </si>
  <si>
    <t>1.1.3.3.15.3</t>
  </si>
  <si>
    <t>1.1.3.3.15.2</t>
  </si>
  <si>
    <t>Расшифровка статьи 1.2.12</t>
  </si>
  <si>
    <t>Убыток прошлых лет, выявл. в отч. периоде</t>
  </si>
  <si>
    <t>ТБР 2018</t>
  </si>
  <si>
    <t>ТБР 2018 (пересмотр февраль)</t>
  </si>
  <si>
    <t>ТБР 2018 (пересмотр апрель)</t>
  </si>
  <si>
    <t>ТБР 2019</t>
  </si>
  <si>
    <t>ТБР 2019 (пересмотр февраль)</t>
  </si>
  <si>
    <t>ТБР 2019 (пересмотр апрель)</t>
  </si>
  <si>
    <t>ТБР 2020</t>
  </si>
  <si>
    <t xml:space="preserve">            Подконтрольные расходы</t>
  </si>
  <si>
    <t>Услуги по разработке схем перспективного развития сетей</t>
  </si>
  <si>
    <t>2.2.6.5</t>
  </si>
  <si>
    <t>Услуги энергосервисные по снижению расхода электроэнергии на ПХН</t>
  </si>
  <si>
    <t>2.2.6.11</t>
  </si>
  <si>
    <t>Услуги по оценке тех. состояния основного электротехнического оборудования</t>
  </si>
  <si>
    <t>2.2.6.12</t>
  </si>
  <si>
    <t>Услуги коммунального хозяйства - дератизация помещений</t>
  </si>
  <si>
    <t>2.14.2.5</t>
  </si>
  <si>
    <t>2.14.2.8.11</t>
  </si>
  <si>
    <t>Услуги консультационные - по управлению персоналом и оргпроектированию</t>
  </si>
  <si>
    <t>2.14.2.8.3</t>
  </si>
  <si>
    <t>Услуги консультационные - по экспертизе тарифов</t>
  </si>
  <si>
    <t>2.14.2.8.5</t>
  </si>
  <si>
    <t>Услуги консультационные - семинары</t>
  </si>
  <si>
    <t>2.14.2.8.9</t>
  </si>
  <si>
    <t>Услуги - обслуживание и зарядка огнетушителей</t>
  </si>
  <si>
    <t>2.14.2.11</t>
  </si>
  <si>
    <t>Услуги автомоек, автостоянок</t>
  </si>
  <si>
    <t>2.14.2.14.7</t>
  </si>
  <si>
    <t>2.14.2.14.17</t>
  </si>
  <si>
    <t>Услуги МФЦ по приему заявок (ТП)</t>
  </si>
  <si>
    <t>2.14.2.14.20</t>
  </si>
  <si>
    <t>Услуги по разработке и техническому обслуживанию интерактивных сервисов и личного кабинета потребителя</t>
  </si>
  <si>
    <t>2.14.2.14.21</t>
  </si>
  <si>
    <t>Услуги по проведению исследований для оценки качества клиентского сервиса</t>
  </si>
  <si>
    <t>2.14.2.14.22</t>
  </si>
  <si>
    <t>Расходы на получение разрешений и лицензий</t>
  </si>
  <si>
    <t>2.14.11.7</t>
  </si>
  <si>
    <t>Лицензии прочие</t>
  </si>
  <si>
    <t>2.14.11.7.10</t>
  </si>
  <si>
    <t>Расходы на получение разрешений на перевозку крупногабаритных грузов</t>
  </si>
  <si>
    <t>2.14.11.7.11</t>
  </si>
  <si>
    <t>Вознаграждения посредническим организациям, агентам, комиссионерам</t>
  </si>
  <si>
    <t>2.14.11.12</t>
  </si>
  <si>
    <t>Другие прочие затраты</t>
  </si>
  <si>
    <t>2.14.11.15</t>
  </si>
  <si>
    <t>Расходы на регистрационные взносы за участие в форумах и конференциях</t>
  </si>
  <si>
    <t>Расходы на проведение конкурсов и аукционов</t>
  </si>
  <si>
    <t xml:space="preserve">             Неподконтрольные расходы</t>
  </si>
  <si>
    <t>Расходы связанные с интеллектуальными системами учета электроэнергии (по ФЗ №522-ФЗ от 27.12.2018г) (кроме инвестиционных расходов)</t>
  </si>
  <si>
    <t>Расходы Выбытие активов без дохода</t>
  </si>
  <si>
    <t>9.11</t>
  </si>
  <si>
    <t>Расходы Невозмещаемый НДС</t>
  </si>
  <si>
    <t>Расходы Страховые взносы на обязательное пенсионное страхование  ПФ РФ (накопительная часть)</t>
  </si>
  <si>
    <t>9.27.42.2</t>
  </si>
  <si>
    <t>Расходы списание дебиторской задолженности</t>
  </si>
  <si>
    <t>9.27.48</t>
  </si>
  <si>
    <t>Расходы Списание дебиторской задолженности по решению Комиссии менее 3 лет</t>
  </si>
  <si>
    <t>9.27.48.2</t>
  </si>
  <si>
    <t>Расходы в виде остаточной стоимости ОС, выбывших в результате хищений</t>
  </si>
  <si>
    <t>9.27.68</t>
  </si>
  <si>
    <t>Расходы Нераспределенные расходы капитальное строительство</t>
  </si>
  <si>
    <t xml:space="preserve">          Прочие доходы</t>
  </si>
  <si>
    <t>8.2.1</t>
  </si>
  <si>
    <t>Доходы Списание кредиторской/депонентской задолжности сроком свыше трех лет</t>
  </si>
  <si>
    <t>Доходы ТМЦ (лом), оприходованные в результате списания (ликвидации) ТМЦ</t>
  </si>
  <si>
    <t>8.45</t>
  </si>
  <si>
    <t>Доходы Средства ФСС на меры по предупреждению травматизма и профессиональных заболеваний</t>
  </si>
  <si>
    <t>Доходы Возмещение затрат по обучению</t>
  </si>
  <si>
    <t>8.48</t>
  </si>
  <si>
    <t xml:space="preserve">             Корректировка НВВ</t>
  </si>
  <si>
    <t>Себестоимость</t>
  </si>
  <si>
    <t>1.1.3.3.15.4</t>
  </si>
  <si>
    <t>В ТБР расходы  не учтены</t>
  </si>
  <si>
    <r>
      <t xml:space="preserve">Наименование организации: </t>
    </r>
    <r>
      <rPr>
        <u val="single"/>
        <sz val="12"/>
        <color indexed="8"/>
        <rFont val="Times New Roman"/>
        <family val="1"/>
      </rPr>
      <t>Филиал ПАО "Россети  Юг" - "Калмэнерго"</t>
    </r>
  </si>
  <si>
    <t>1.1.1.1.1</t>
  </si>
  <si>
    <t>1.1.1.2.1</t>
  </si>
  <si>
    <t>Справочно: расходы на ремонт, всего (пункт 1.1.1.1.1 + пункт 1.1.1.2.1 + пункт 1.1.2.1)</t>
  </si>
  <si>
    <t>на листе "Расшифровка прочих расходов"…</t>
  </si>
  <si>
    <t>Списание неликвидных ТМЦ и ТМЦ непроизводственного характера</t>
  </si>
  <si>
    <t>Содержание социальной сферы за счет прибыли и расходы на содержание непроизводственных объектов</t>
  </si>
  <si>
    <t xml:space="preserve">Снижение стоимости (цены)  аренды связи </t>
  </si>
  <si>
    <t>Другие прочие расходы</t>
  </si>
  <si>
    <t>Закрепление ответственных лиц (подразделений) за анализ отклонений  фактических расходов 2020г  и утвержденных затрат (в разбивке по статьям), ожидаемых 2021г и предложений на 2022 год.</t>
  </si>
  <si>
    <t>Факт 2017  (передача ээ)</t>
  </si>
  <si>
    <t>ТБР 2018 (после решения суда)</t>
  </si>
  <si>
    <t>Факт 2018 (передача ээ)</t>
  </si>
  <si>
    <t>ТБР 2019 (после решения суда)</t>
  </si>
  <si>
    <t>Факт 2019 (передача ээ)</t>
  </si>
  <si>
    <t>Факт 2020 год по всем видам деятельности</t>
  </si>
  <si>
    <r>
      <t xml:space="preserve">в том числе отнесено </t>
    </r>
    <r>
      <rPr>
        <b/>
        <sz val="10"/>
        <rFont val="Arial"/>
        <family val="2"/>
      </rPr>
      <t>на передачу</t>
    </r>
  </si>
  <si>
    <t>ТБР 2021</t>
  </si>
  <si>
    <r>
      <t xml:space="preserve">БП 2022 </t>
    </r>
    <r>
      <rPr>
        <b/>
        <sz val="10"/>
        <rFont val="Arial"/>
        <family val="2"/>
      </rPr>
      <t>(передача)</t>
    </r>
    <r>
      <rPr>
        <sz val="10"/>
        <rFont val="Arial"/>
        <family val="2"/>
      </rPr>
      <t xml:space="preserve"> </t>
    </r>
    <r>
      <rPr>
        <i/>
        <sz val="10"/>
        <rFont val="Arial"/>
        <family val="2"/>
      </rPr>
      <t>справочно</t>
    </r>
  </si>
  <si>
    <t>Материалы для оргтехники (ремонт)</t>
  </si>
  <si>
    <t>2.1.4.4.9</t>
  </si>
  <si>
    <t>Прочие материалы средства защиты от вируса</t>
  </si>
  <si>
    <t>Услуги подрядчиков по техобслуживанию средств связи</t>
  </si>
  <si>
    <t>Услуги подрядчиков по ремонту ЛЭП и подстанций</t>
  </si>
  <si>
    <t>Оплата отпусков по Положению о социальном пакете/Коллективному договору</t>
  </si>
  <si>
    <t>2.9.1.</t>
  </si>
  <si>
    <t>Доплаты и надбавки к тарифным ставкам и окладам (коронавирус)</t>
  </si>
  <si>
    <t>2.14.2.2.6</t>
  </si>
  <si>
    <t>Расходы по подбору кадров</t>
  </si>
  <si>
    <t>2.14.2.14.19</t>
  </si>
  <si>
    <t>2.14.11.1.2</t>
  </si>
  <si>
    <t>Лицензии - аттестация режимно-секретных помещений и спец.части</t>
  </si>
  <si>
    <t>2.14.11.9</t>
  </si>
  <si>
    <t>2.14.11.18</t>
  </si>
  <si>
    <t>2.14.11.19</t>
  </si>
  <si>
    <t>Аренда недвижимого имущества (административно-хозяйственного назначения)</t>
  </si>
  <si>
    <t>2.14.4.4</t>
  </si>
  <si>
    <t>Расходы Проценты по долгосрочным прочим займам</t>
  </si>
  <si>
    <t>7.3</t>
  </si>
  <si>
    <t>Выплаты СД и РК</t>
  </si>
  <si>
    <t>Выплаты СХ ИА в неподконтрольных</t>
  </si>
  <si>
    <t>Прочие расходы за счет прибыли РСК (кроме расходов и выплат соцхарактера)</t>
  </si>
  <si>
    <t>Расходы услуги инкассации</t>
  </si>
  <si>
    <t>9.4.3</t>
  </si>
  <si>
    <t>9.27.7</t>
  </si>
  <si>
    <t>Расходы чрезвычайные по предупреждению распространения коронавирусной инфекции</t>
  </si>
  <si>
    <t>9.27.38</t>
  </si>
  <si>
    <t>Расходы Списание дебиторской задолженности более 3 лет</t>
  </si>
  <si>
    <t>9.27.48.1</t>
  </si>
  <si>
    <t>Расходы на восстановление имущества (порча при отстутствии виновных)</t>
  </si>
  <si>
    <t>9.27.70</t>
  </si>
  <si>
    <t>9.28</t>
  </si>
  <si>
    <t xml:space="preserve">           Прочие расходы за счет прибыли ИА ((кроме расходов и выплат соцхарактера)</t>
  </si>
  <si>
    <t>8.10.1</t>
  </si>
  <si>
    <t>Доходы возмещение фактических затрат при перемещении объектов электросетевого хозяйства</t>
  </si>
  <si>
    <t>8.16.5</t>
  </si>
  <si>
    <t>8.20</t>
  </si>
  <si>
    <t>Доходы Страховое возмещение по чрезвычайным обстоятельствам</t>
  </si>
  <si>
    <t>8.46</t>
  </si>
  <si>
    <t>Коммерческие расходы</t>
  </si>
  <si>
    <t>Чистая прибыль(убыток) с учетом коммерческих расходов</t>
  </si>
  <si>
    <t>на листе "Расшифровка прочих расходов"</t>
  </si>
  <si>
    <t>В ТБР расходы  учтены ниже потребности</t>
  </si>
  <si>
    <r>
      <t xml:space="preserve">общее количество точек подключения на конец года </t>
    </r>
    <r>
      <rPr>
        <sz val="8"/>
        <rFont val="Times New Roman"/>
        <family val="1"/>
      </rPr>
      <t>[1]</t>
    </r>
  </si>
  <si>
    <t>[1] -  указано максимальное за год число точек поставки потребителей услуг сетевой организации</t>
  </si>
  <si>
    <t>Управленческие расходы ПАО "Россети Юг"</t>
  </si>
  <si>
    <t>Расходы на подготовку кадров</t>
  </si>
  <si>
    <t xml:space="preserve">В ТБР не учтены расходы на добровольное медицинское страхование </t>
  </si>
  <si>
    <t>Заместитель генерального директора по экономике и финансам</t>
  </si>
  <si>
    <t>Вознаграждения членам СД и корпоративного секретаря</t>
  </si>
  <si>
    <t>Вознаграждения членам комитетов при СД и секретаря комитетов</t>
  </si>
  <si>
    <t>Вознаграждения членам ревизионной комиссии</t>
  </si>
  <si>
    <t>Резерв на вознаграждение членам совета директоров</t>
  </si>
  <si>
    <t>Компенсация командировочных расходов членам ревизионной комиссии</t>
  </si>
  <si>
    <t>Компенсация командировочных расходов членам совета директоров</t>
  </si>
  <si>
    <t>Расходы (из себестоимости) по вознаграждению СД и РК *, в т.ч.:</t>
  </si>
  <si>
    <t>Сальдо прочих доходов и расходов</t>
  </si>
  <si>
    <t>проценты по кредитам банков</t>
  </si>
  <si>
    <t>другие прочие неподконтрольные расходы , в т.ч.:</t>
  </si>
  <si>
    <t>С декабря 2020 года на территории Республики Калмыкия началась выработка и поставка электрической энергии на ОРЭМ с объектов  ветрогенерации («Салынская» ВЭС и «Целинская» ВЭС, ООО «Четвертый Ветропарк ФРВ»). В связи с осуществлением передачи выработанной электрической энергии по сетям  «Калмэнерго» в смежные субъекты Российской Федерации (Ставропольский край), наблюдается существенный рост транзитных потерь электрической энергии в сетях 110 кВ филиала «Калмэнерго».</t>
  </si>
  <si>
    <t>налог на прибыль с учетом текущего налога на прибыль по декларации, распределенного на филиал Калмэнерго</t>
  </si>
  <si>
    <r>
      <rPr>
        <sz val="9"/>
        <rFont val="Times New Roman"/>
        <family val="1"/>
      </rPr>
      <t>*</t>
    </r>
    <r>
      <rPr>
        <sz val="9"/>
        <color indexed="9"/>
        <rFont val="Times New Roman"/>
        <family val="1"/>
      </rPr>
      <t>_</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r>
  </si>
  <si>
    <r>
      <rPr>
        <sz val="9"/>
        <rFont val="Times New Roman"/>
        <family val="1"/>
      </rPr>
      <t>**</t>
    </r>
    <r>
      <rPr>
        <sz val="9"/>
        <color indexed="9"/>
        <rFont val="Times New Roman"/>
        <family val="1"/>
      </rPr>
      <t>_</t>
    </r>
    <r>
      <rPr>
        <sz val="9"/>
        <rFont val="Times New Roman"/>
        <family val="1"/>
      </rPr>
      <t>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r>
  </si>
  <si>
    <r>
      <rPr>
        <sz val="9"/>
        <rFont val="Times New Roman"/>
        <family val="1"/>
      </rPr>
      <t>***</t>
    </r>
    <r>
      <rPr>
        <sz val="9"/>
        <color indexed="9"/>
        <rFont val="Times New Roman"/>
        <family val="1"/>
      </rPr>
      <t>_</t>
    </r>
    <r>
      <rPr>
        <sz val="9"/>
        <rFont val="Times New Roman"/>
        <family val="1"/>
      </rPr>
      <t>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r>
  </si>
  <si>
    <r>
      <rPr>
        <sz val="9"/>
        <rFont val="Times New Roman"/>
        <family val="1"/>
      </rPr>
      <t>****</t>
    </r>
    <r>
      <rPr>
        <sz val="9"/>
        <color indexed="9"/>
        <rFont val="Times New Roman"/>
        <family val="1"/>
      </rPr>
      <t>_</t>
    </r>
    <r>
      <rPr>
        <sz val="9"/>
        <rFont val="Times New Roman"/>
        <family val="1"/>
      </rPr>
      <t>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r>
  </si>
  <si>
    <r>
      <rPr>
        <sz val="9"/>
        <rFont val="Times New Roman"/>
        <family val="1"/>
      </rPr>
      <t>*****</t>
    </r>
    <r>
      <rPr>
        <sz val="9"/>
        <color indexed="9"/>
        <rFont val="Times New Roman"/>
        <family val="1"/>
      </rPr>
      <t>_</t>
    </r>
    <r>
      <rPr>
        <sz val="9"/>
        <rFont val="Times New Roman"/>
        <family val="1"/>
      </rPr>
      <t>В соответствии с пунктом 4.2.14.8 Положения о Министерстве энергетики Российской Федерации, утвержденного постановлением Правительства Российской Федерации от 28.05.2008 № 400.</t>
    </r>
  </si>
  <si>
    <t>К.А. Иорданиди</t>
  </si>
  <si>
    <t>Рост расходов обусловлен ростом объема потерь. 
При этом, указанная величина фактических расходов не включает в полном объеме составляющую, возникающую из-за специфики деятельности филиала  как сетевой организации, выполняющей функции  двух  гарантирующих поставщиков (ГП): в зоне г.Элиста и  вне зоны г.Элиста.</t>
  </si>
  <si>
    <t>Расходы на межевание земельных участков и  установление охранных зон, учтены в ТБР не в полном объеме</t>
  </si>
  <si>
    <t>В ТБР расходы на командировки  учтены ниже потребности</t>
  </si>
  <si>
    <t>1.2.12.5</t>
  </si>
  <si>
    <t>Расходы на выплаты соц.характера из прибыли ИА</t>
  </si>
  <si>
    <t>Рост затрат связан с производственной необходимостью  профессиональной подготовки персонала с целью обеспечения соответствия работников профессиональным стандартам.</t>
  </si>
  <si>
    <t>налог на прибыль, распределенный на филиал по у.о. , за вычетом величины текущего налога на прибыль по декларации, распределенного на филиал по видам деятельности по оказанию услуг по передаче электрической энергии и осуществлению технологического присоединения к электрическим сетям.</t>
  </si>
  <si>
    <t xml:space="preserve">По факту отражены расходы  по демонтажу и списанию ОС, пришедших в негодность в связи с физическим износом и моральным устареванием, а также  расходы по демонтажу и списанию ОС в результате инвестиционной деятельности. </t>
  </si>
  <si>
    <t>Текущий налог на прибыль в соответствии с управленческим учетом и налоговой декларацией, отнесенный на филиал "Калмэнерго" и, в соответствии с п.20 Основ ценообразования, включает величину налога на прибыль, относимую к деятельности по оказанию услуг по передаче электрической энергии и осуществлению технологического присоединения к электрическим сетям</t>
  </si>
  <si>
    <t xml:space="preserve">Из-за специфики деятельности филиала  как сетевой организации, выполняющей функции  двух  гарантирующих поставщиков (ГП): в зоне г.Элиста и  вне зоны г.Элиста и особенностями бухгалтерского учета (не отражения в бухучете расходов на энергию на хознужды, т.к. счета не выставляются юр.лицом) 
Снижение расходов в результате    проведения  мероприятий по энергосбережению (замена светильников наружного и внутреннего освещения на светодиодные и  установка датчиков движения). </t>
  </si>
  <si>
    <t>Факт учитывает расходы соцхарактера ИА из прибыли</t>
  </si>
  <si>
    <t>В ТБР не учтены расходы на ФЗП непром.персонала и соотв.страховые взносы, на обучение и переподготовку сотрудников вне штата, расходы на СМИ и PR, штрафы, пени, неустойки, судебные издержки и другие прочие расходы</t>
  </si>
  <si>
    <t>Выполнение внеплановых работ  в целях повышения надежности,  проведение внеплановых осмотров ВЛ  для определения объема восстановительных работ  после последствий  стихийных явлений, иные работы по ремонту и  техобслуживанию, не учтенные в ТБР, выполненные хозяйственным способом.</t>
  </si>
  <si>
    <t>Снижение расходов по госпошлинам по хозяйственным договорам в результате  сокращения исковых требований в отношении контрагентов- неплательщиков  услуг по передаче электрической энергии в связи с расторжением договоров при переходе на осуществление РСТ функции гарантирующего поставщика.</t>
  </si>
  <si>
    <t>1.2.12.4.3</t>
  </si>
  <si>
    <t>1.2.12.4.5</t>
  </si>
  <si>
    <t>1.2.12.4.6</t>
  </si>
  <si>
    <t>1.2.12.4.7</t>
  </si>
  <si>
    <t>1.2.12.4.9</t>
  </si>
  <si>
    <t>Приведена цена по данным бухучета, отличная от фактической цены 3 428,95 руб./МВтч, сформированной с учетом положений постановления Правильства РФ от 04.05.2012 №442. Указанное отличие связано со спецификой деятельности филиала  как сетевой организации, выполняющей функции  двух  ГП: в зоне г.Элиста и  вне зоны г.Элиста.</t>
  </si>
  <si>
    <t>Факт указан на 31.12.2023</t>
  </si>
  <si>
    <t>Приложение №1 к приказу РСТ Республики Калмыкия от 28.11.2022 № 95-п/э "Об утверждении долгосрочных параметров регулирования филиала ПАО "Россети  Юг"-"Калмэнерго" на 2023-2027гг…"</t>
  </si>
  <si>
    <t>2023 год</t>
  </si>
  <si>
    <t>в плане укаан РПП. По факту-фактический финансовый результат филиала по виду деятельности "передача э/э"</t>
  </si>
  <si>
    <t>По факту отражен финансовый результат филиала по виду деятельности "передача э/э" за 2023 год с учетом фактических выпадающих по ТПП, налога на прибыль, распределенного на филиал по управленческой отчетности, и сальдо прочих доходов и расходов из прибыли</t>
  </si>
  <si>
    <t xml:space="preserve">В связи с экономией расходов  на выполнение мероприятий, предусмотренных п.5ст.37 №35-ФЗ: обязанностей ТСО по обеспечению коммерческого учета элекроэнергии, не относящиеся к капитальным вложениям (расходы связанные с интеллектуальными системами учета электроэнергии по ФЗ №522-ФЗ от 27.12.2018г) </t>
  </si>
  <si>
    <t>Расходы на питьевую воду и оплату услуг кредитных организаций (РКО)</t>
  </si>
  <si>
    <r>
      <t xml:space="preserve">Долгосрочный период регулирования: </t>
    </r>
    <r>
      <rPr>
        <u val="single"/>
        <sz val="12"/>
        <color indexed="8"/>
        <rFont val="Times New Roman"/>
        <family val="1"/>
      </rPr>
      <t>2023-2027 гг.</t>
    </r>
  </si>
  <si>
    <t>Экономия по факту сложилась   по услугам по транспортировке и утилизации опасных производственных отходов</t>
  </si>
  <si>
    <t>По факту расходы на ГСМ  сложились ниже утвержденных в ТБР</t>
  </si>
  <si>
    <t xml:space="preserve">Расходы на ремонт и техобслуживание автотранспорта подрядным способом  сложились ниже учтенных в ТБР </t>
  </si>
  <si>
    <t>Увеличение затрат на информационные услуги связано с приобретением и сопровождением программных продуктов, не учтенных при тарифном регулировании. (антивирусное ПО, 1С,   MaxPatrol SIEM Server), в том числе во исполнение Послания Президента РФ В.В. Путина Федеральному Собранию РФ от 4 декабря 2014 г. (переход на офисное ПО российского производства).</t>
  </si>
  <si>
    <t>В соответствии с пунктом 38 ФСБУ 6/2020 организация проверяет основные средства на обесценение и учитывает изменение их балансовой стоимости вследствие обесценения. Сумма обесценения относится на прочие расходы (счет 91.02), сумма расходов по факту соответствует данным отчета о результатах тестирования активов Группы «Россети Юг» по МСФО и РСБУ за 2023 год и определения их возмещаемой суммы по состоянию на 31.12.2023 г.</t>
  </si>
  <si>
    <t>В ТБР не в полном объеме включены выплаты, предусмотренные коллективным договором</t>
  </si>
  <si>
    <t>Экономия по затратам сложилась в результате снижения сальдированного перетока электроэнергии из сетей ЕНЭС относительно ученного в ТБР и, соответственно, объема потерь в сетях ЕНЭС относительно учтенного в ТБР (в связи с выработкой и поставкой электрической энергии на ОРЭМ с объектов  ветрогенерации («Салынская» ВЭС и «Целинская» ВЭС, ООО «Четвертый Ветропарк ФРВ») на территории Республики Калмыкия, начиная с декабря 2020 года).</t>
  </si>
  <si>
    <t>Рост тарифов на коммунальные услуги выше роста операционных расходов, коэффициент индексации которых определяется по формулам Методических указаний № 98-э от 17.02.2012</t>
  </si>
  <si>
    <t>В ТБР не учтены расходы  на отчисления профсоюзу по локальным нормативным актам</t>
  </si>
  <si>
    <t>Уменьшение  фактического размера фонда оплаты труда за 2023 год, относительного утвержденного за счет снижения среднесписочной  численности производственного персонала в виду текучести кадров</t>
  </si>
  <si>
    <t>По факту отражены с учетом расходов на оплату труда и ставок отчислений на соцнужды</t>
  </si>
  <si>
    <t xml:space="preserve">резерв по сомнительным долгам </t>
  </si>
  <si>
    <t>прочие доходы (ИА+ф-л из прибыли) и прочие расходы (ИА + расходы ф-ла  по чрезвычайным обстоятельствам)+обесценение+ доход о списания РСД</t>
  </si>
  <si>
    <t>Расходы на командировки,  на обеспечение нормальных условий труда и мер по технике безопасности</t>
  </si>
  <si>
    <t>1.1.3.3.10</t>
  </si>
  <si>
    <t xml:space="preserve">Включают расходы на юридические, информационные, аудиторские, консультационные услуги, прочие услуги сторонних организаций, канцелярские, почтово-телеграфные расходы, расходы на подписку и приобретение тех.литературы, управленческие расходы  ПАО "Россети" и ПАО "Россети Юг"(с учетом расходов ИА соцхарактера из прибыли) </t>
  </si>
  <si>
    <t>Факт отражен в соответствии с данными бухгалтерского учета. Согласно письму ФАС России от 05.08.2022 № МШ/74227/22 в связи с применением с 01.01.2022 ФСБУ 25/2018 «Бухгалтерский учет аренды» расходы на аренду помещений, транспорта и земельных участков в целях тарифного регулирования определяются на основе заключенных договоров в результате конкурсных процедур (без учета ФСБУ 25/2018), а также на основе первичных документов - акт, счет-фактура, платежное поручение и т.д. 
Сумма арендных платежей по указанным документам составила 3 784,77 тыс. рублей.</t>
  </si>
  <si>
    <t>Факт отражен в соответствии с данными бухгалтерского учета. Согласно новым страндартам ФСБУ  6/2020, 26/2020, 27/2021  в бухгалтерском учете отражено обесценение основых средств. 
Сумма амортизации основных средств без учета признаков обесценения, относимая на услуги по передаче электроэнергии по 2023 г., составляет 322 796,75 тыс. руб.</t>
  </si>
  <si>
    <t>Фактические расходы по налогу на имущество отражены согласно новым страндартам ФСБУ  6/2020, 26/2020, 27/2021. 
Налог на имущество без учета признаков обесценения, относящийся на передачу, составляет28 114,42 тыс.руб.</t>
  </si>
  <si>
    <t xml:space="preserve">В ТБР расходы  не учтены
По факту учитывают расходы на проценты к уплате, включая проценты к уплате в соответствии с условиями соглашений о погашении задолженности перед АО «Россети Цифра», а также проценты за пользование активами (ППА) в соответствии с ФСБУ 25/2018 «Бухгалтерский учет аренды». </t>
  </si>
  <si>
    <t>В ТБР расходы учтены в соответствии с п.30 Основ ценообразования.
Фактические расходы на резерв по сомнительным долгам, учитывают задолженность контрагентов по процентам за пользование чужими денежными средствами, пеням, штрафам, неустойкам, по компенсации госпошлины по исполнительным документам и т.п.</t>
  </si>
  <si>
    <t>В ТБР учтены расходы по отоплению адм.здания по адресу г.Элиста, ул.Ленина, 271.
По факту кроме расходов на отопление этого здания отражены расходы по отоплению адм. здания по адресу г.Элиста, ул.Ленина, 249 (договор от 01.01.2022 в тариф на 2023 год не заявлялся).</t>
  </si>
  <si>
    <t xml:space="preserve">Отражены по факту расходы по льготной категории потребителей. Увеличение фактических расходов относительно установленных РСТ РК на 2023 год связано с:
- ростом фактических расходов по организационно-техническим мероприятиям для заявителей с максимальной мощностью, не превышающей 15 кВт включительно;
-  ростом фактических расходов, связанных со строительством "последней мили" заявителей с максимальной мощностью до 15 кВт и  150 кВт  включительно. </t>
  </si>
  <si>
    <t>Недобор выручки на содержание сетей обусловлен ростом фактических затрат на компенсацию потерь относительно учтенных в ТБР в связи с увеличением объема транзитных потерь.</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</si>
</sst>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000"/>
    <numFmt numFmtId="176" formatCode="0.00000"/>
    <numFmt numFmtId="177" formatCode="0.0000"/>
    <numFmt numFmtId="178" formatCode="0.000"/>
    <numFmt numFmtId="179" formatCode="0.0000000"/>
    <numFmt numFmtId="180" formatCode="#,##0.0"/>
    <numFmt numFmtId="181" formatCode="#,##0.000"/>
    <numFmt numFmtId="182" formatCode="#,##0.0000"/>
    <numFmt numFmtId="183" formatCode="#,##0.00000"/>
    <numFmt numFmtId="184" formatCode="0.0%"/>
    <numFmt numFmtId="185" formatCode="0.0000000000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000"/>
    <numFmt numFmtId="191" formatCode="0.000%"/>
    <numFmt numFmtId="192" formatCode="_-* #,##0.000\ _₽_-;\-* #,##0.000\ _₽_-;_-* &quot;-&quot;???\ _₽_-;_-@_-"/>
    <numFmt numFmtId="193" formatCode="[$-FC19]d\ mmmm\ yyyy\ &quot;г.&quot;"/>
    <numFmt numFmtId="194" formatCode="0.0000%"/>
    <numFmt numFmtId="195" formatCode="#,##0.0000000"/>
    <numFmt numFmtId="196" formatCode="#,##0.00000000"/>
    <numFmt numFmtId="197" formatCode="#,##0.000000000"/>
    <numFmt numFmtId="198" formatCode="#,##0.0000000000"/>
    <numFmt numFmtId="199" formatCode="0_ ;\-0\ "/>
    <numFmt numFmtId="200" formatCode="_-* #,##0.00000000_р_._-;\-* #,##0.00000000_р_._-;_-* &quot;-&quot;??_р_._-;_-@_-"/>
    <numFmt numFmtId="201" formatCode="_-* #,##0.00000000\ _₽_-;\-* #,##0.00000000\ _₽_-;_-* &quot;-&quot;????????\ _₽_-;_-@_-"/>
    <numFmt numFmtId="202" formatCode="_-* #,##0.0000000\ _₽_-;\-* #,##0.0000000\ _₽_-;_-* &quot;-&quot;????????\ _₽_-;_-@_-"/>
    <numFmt numFmtId="203" formatCode="_-* #,##0.000000\ _₽_-;\-* #,##0.000000\ _₽_-;_-* &quot;-&quot;????????\ _₽_-;_-@_-"/>
    <numFmt numFmtId="204" formatCode="_-* #,##0.00000\ _₽_-;\-* #,##0.00000\ _₽_-;_-* &quot;-&quot;????????\ _₽_-;_-@_-"/>
    <numFmt numFmtId="205" formatCode="_-* #,##0.0000\ _₽_-;\-* #,##0.0000\ _₽_-;_-* &quot;-&quot;????????\ _₽_-;_-@_-"/>
    <numFmt numFmtId="206" formatCode="_-* #,##0.0_р_._-;\-* #,##0.0_р_._-;_-* &quot;-&quot;??_р_._-;_-@_-"/>
    <numFmt numFmtId="207" formatCode="#,##0.00000000000"/>
    <numFmt numFmtId="208" formatCode="#,##0_ ;[Red]\-#,##0\ "/>
    <numFmt numFmtId="209" formatCode="_-* #,##0.000_р_._-;\-* #,##0.000_р_._-;_-* &quot;-&quot;??_р_._-;_-@_-"/>
    <numFmt numFmtId="210" formatCode="_-* #,##0.0000_р_._-;\-* #,##0.0000_р_._-;_-* &quot;-&quot;??_р_._-;_-@_-"/>
    <numFmt numFmtId="211" formatCode="_-* #,##0_-;\-* #,##0_-;_-* &quot;-&quot;??_-;_-@_-"/>
    <numFmt numFmtId="212" formatCode="0.00000000%"/>
    <numFmt numFmtId="213" formatCode="#,##0.00_ ;[Red]\-#,##0.00\ "/>
    <numFmt numFmtId="214" formatCode="_-* #,##0_р_._-;\-* #,##0_р_._-;_-* &quot;-&quot;??_р_._-;_-@_-"/>
    <numFmt numFmtId="215" formatCode="#,##0.00000000000000"/>
  </numFmts>
  <fonts count="105">
    <font>
      <sz val="10"/>
      <name val="Arial Cyr"/>
      <family val="0"/>
    </font>
    <font>
      <sz val="10"/>
      <name val="Times New Roman"/>
      <family val="1"/>
    </font>
    <font>
      <sz val="11"/>
      <name val="Times New Roman"/>
      <family val="1"/>
    </font>
    <font>
      <sz val="12"/>
      <name val="Times New Roman"/>
      <family val="1"/>
    </font>
    <font>
      <b/>
      <sz val="12"/>
      <name val="Times New Roman"/>
      <family val="1"/>
    </font>
    <font>
      <sz val="10"/>
      <color indexed="9"/>
      <name val="Times New Roman"/>
      <family val="1"/>
    </font>
    <font>
      <sz val="10.5"/>
      <name val="Times New Roman"/>
      <family val="1"/>
    </font>
    <font>
      <sz val="11"/>
      <color indexed="8"/>
      <name val="Calibri"/>
      <family val="2"/>
    </font>
    <font>
      <u val="single"/>
      <sz val="12"/>
      <color indexed="8"/>
      <name val="Times New Roman"/>
      <family val="1"/>
    </font>
    <font>
      <b/>
      <sz val="10.5"/>
      <name val="Times New Roman"/>
      <family val="1"/>
    </font>
    <font>
      <sz val="8"/>
      <name val="Arial"/>
      <family val="2"/>
    </font>
    <font>
      <sz val="10"/>
      <name val="Arial"/>
      <family val="2"/>
    </font>
    <font>
      <i/>
      <sz val="10.5"/>
      <name val="Times New Roman"/>
      <family val="1"/>
    </font>
    <font>
      <b/>
      <sz val="14"/>
      <name val="Arial Cyr"/>
      <family val="0"/>
    </font>
    <font>
      <b/>
      <sz val="9"/>
      <name val="Tahoma"/>
      <family val="2"/>
    </font>
    <font>
      <sz val="14"/>
      <color indexed="8"/>
      <name val="Times New Roman"/>
      <family val="1"/>
    </font>
    <font>
      <sz val="14"/>
      <name val="Times New Roman"/>
      <family val="1"/>
    </font>
    <font>
      <sz val="14"/>
      <name val="Arial Cyr"/>
      <family val="0"/>
    </font>
    <font>
      <sz val="10"/>
      <name val="Tahoma"/>
      <family val="2"/>
    </font>
    <font>
      <sz val="9"/>
      <color indexed="8"/>
      <name val="Times New Roman"/>
      <family val="1"/>
    </font>
    <font>
      <i/>
      <sz val="12"/>
      <color indexed="8"/>
      <name val="Times New Roman"/>
      <family val="1"/>
    </font>
    <font>
      <i/>
      <sz val="12"/>
      <name val="Times New Roman"/>
      <family val="1"/>
    </font>
    <font>
      <i/>
      <sz val="11"/>
      <name val="Times New Roman"/>
      <family val="1"/>
    </font>
    <font>
      <sz val="9"/>
      <name val="Tahoma"/>
      <family val="2"/>
    </font>
    <font>
      <i/>
      <sz val="10"/>
      <name val="Times New Roman"/>
      <family val="1"/>
    </font>
    <font>
      <sz val="10"/>
      <color indexed="8"/>
      <name val="Times New Roman"/>
      <family val="1"/>
    </font>
    <font>
      <b/>
      <sz val="8"/>
      <name val="Arial"/>
      <family val="2"/>
    </font>
    <font>
      <sz val="8"/>
      <name val="Times New Roman"/>
      <family val="1"/>
    </font>
    <font>
      <sz val="11"/>
      <name val="Arial Narrow"/>
      <family val="2"/>
    </font>
    <font>
      <sz val="9"/>
      <name val="Times New Roman"/>
      <family val="1"/>
    </font>
    <font>
      <sz val="16"/>
      <color indexed="8"/>
      <name val="Times New Roman"/>
      <family val="1"/>
    </font>
    <font>
      <b/>
      <sz val="10"/>
      <name val="Arial"/>
      <family val="2"/>
    </font>
    <font>
      <i/>
      <sz val="10"/>
      <name val="Arial"/>
      <family val="2"/>
    </font>
    <font>
      <b/>
      <sz val="10"/>
      <name val="Times New Roman"/>
      <family val="1"/>
    </font>
    <font>
      <sz val="18"/>
      <name val="Times New Roman"/>
      <family val="1"/>
    </font>
    <font>
      <sz val="9"/>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3"/>
      <color indexed="8"/>
      <name val="Times New Roman"/>
      <family val="1"/>
    </font>
    <font>
      <sz val="11"/>
      <color indexed="10"/>
      <name val="Times New Roman"/>
      <family val="1"/>
    </font>
    <font>
      <sz val="8"/>
      <color indexed="62"/>
      <name val="Arial"/>
      <family val="2"/>
    </font>
    <font>
      <b/>
      <sz val="9"/>
      <color indexed="10"/>
      <name val="Times New Roman"/>
      <family val="1"/>
    </font>
    <font>
      <sz val="8"/>
      <color indexed="30"/>
      <name val="Arial"/>
      <family val="2"/>
    </font>
    <font>
      <b/>
      <sz val="9"/>
      <color indexed="8"/>
      <name val="Times New Roman"/>
      <family val="1"/>
    </font>
    <font>
      <sz val="8"/>
      <color indexed="40"/>
      <name val="Arial"/>
      <family val="2"/>
    </font>
    <font>
      <sz val="10.5"/>
      <color indexed="10"/>
      <name val="Times New Roman"/>
      <family val="1"/>
    </font>
    <font>
      <sz val="10"/>
      <color indexed="60"/>
      <name val="Times New Roman"/>
      <family val="1"/>
    </font>
    <font>
      <b/>
      <sz val="10"/>
      <color indexed="10"/>
      <name val="Times New Roman"/>
      <family val="1"/>
    </font>
    <font>
      <sz val="10"/>
      <color indexed="10"/>
      <name val="Times New Roman"/>
      <family val="1"/>
    </font>
    <font>
      <sz val="14"/>
      <color indexed="10"/>
      <name val="Times New Roman"/>
      <family val="1"/>
    </font>
    <font>
      <sz val="12"/>
      <color indexed="10"/>
      <name val="Times New Roman"/>
      <family val="1"/>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3"/>
      <color theme="1"/>
      <name val="Times New Roman"/>
      <family val="1"/>
    </font>
    <font>
      <sz val="11"/>
      <color rgb="FFFF0000"/>
      <name val="Times New Roman"/>
      <family val="1"/>
    </font>
    <font>
      <sz val="8"/>
      <color theme="3" tint="0.39998000860214233"/>
      <name val="Arial"/>
      <family val="2"/>
    </font>
    <font>
      <sz val="8"/>
      <color rgb="FF0070C0"/>
      <name val="Arial"/>
      <family val="2"/>
    </font>
    <font>
      <b/>
      <sz val="9"/>
      <color theme="1"/>
      <name val="Times New Roman"/>
      <family val="1"/>
    </font>
    <font>
      <b/>
      <sz val="9"/>
      <color rgb="FFFF0000"/>
      <name val="Times New Roman"/>
      <family val="1"/>
    </font>
    <font>
      <sz val="8"/>
      <color rgb="FF00B0F0"/>
      <name val="Arial"/>
      <family val="2"/>
    </font>
    <font>
      <sz val="10.5"/>
      <color rgb="FFFF0000"/>
      <name val="Times New Roman"/>
      <family val="1"/>
    </font>
    <font>
      <sz val="10"/>
      <color theme="1"/>
      <name val="Times New Roman"/>
      <family val="1"/>
    </font>
    <font>
      <sz val="10"/>
      <color rgb="FFC00000"/>
      <name val="Times New Roman"/>
      <family val="1"/>
    </font>
    <font>
      <b/>
      <sz val="10"/>
      <color rgb="FFFF0000"/>
      <name val="Times New Roman"/>
      <family val="1"/>
    </font>
    <font>
      <sz val="10"/>
      <color rgb="FFFF0000"/>
      <name val="Times New Roman"/>
      <family val="1"/>
    </font>
    <font>
      <sz val="14"/>
      <color rgb="FFFF0000"/>
      <name val="Times New Roman"/>
      <family val="1"/>
    </font>
    <font>
      <sz val="12"/>
      <color rgb="FFFF0000"/>
      <name val="Times New Roman"/>
      <family val="1"/>
    </font>
    <font>
      <b/>
      <sz val="8"/>
      <name val="Arial Cyr"/>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indexed="26"/>
        <bgColor indexed="64"/>
      </patternFill>
    </fill>
    <fill>
      <patternFill patternType="solid">
        <fgColor rgb="FF92D050"/>
        <bgColor indexed="64"/>
      </patternFill>
    </fill>
    <fill>
      <patternFill patternType="solid">
        <fgColor theme="2" tint="-0.09996999800205231"/>
        <bgColor indexed="64"/>
      </patternFill>
    </fill>
    <fill>
      <patternFill patternType="solid">
        <fgColor rgb="FFCCCCFF"/>
        <bgColor indexed="64"/>
      </patternFill>
    </fill>
    <fill>
      <patternFill patternType="solid">
        <fgColor rgb="FFCCCCFF"/>
        <bgColor indexed="64"/>
      </patternFill>
    </fill>
    <fill>
      <patternFill patternType="solid">
        <fgColor rgb="FFFDC7F9"/>
        <bgColor indexed="64"/>
      </patternFill>
    </fill>
    <fill>
      <patternFill patternType="solid">
        <fgColor rgb="FFFDC7F9"/>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00B0F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style="medium"/>
      <right style="thin"/>
      <top/>
      <bottom/>
    </border>
    <border>
      <left style="thin"/>
      <right style="thin"/>
      <top>
        <color indexed="63"/>
      </top>
      <bottom>
        <color indexed="63"/>
      </botto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medium"/>
    </border>
    <border>
      <left style="thin"/>
      <right style="thin"/>
      <top/>
      <bottom style="medium"/>
    </border>
    <border>
      <left style="thin"/>
      <right style="thin"/>
      <top style="thin"/>
      <bottom>
        <color indexed="63"/>
      </bottom>
    </border>
    <border>
      <left style="medium"/>
      <right/>
      <top style="thin"/>
      <bottom style="medium"/>
    </border>
    <border>
      <left style="medium"/>
      <right style="thin"/>
      <top style="medium"/>
      <bottom style="medium"/>
    </border>
    <border>
      <left style="thin"/>
      <right style="thin"/>
      <top style="medium"/>
      <bottom style="medium"/>
    </border>
    <border>
      <left style="medium"/>
      <right style="thin"/>
      <top style="thin"/>
      <bottom/>
    </border>
    <border>
      <left/>
      <right style="thin"/>
      <top style="thin"/>
      <bottom/>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style="medium"/>
      <right style="thin"/>
      <top style="medium"/>
      <bottom style="thin"/>
    </border>
    <border>
      <left style="thin"/>
      <right style="thin"/>
      <top style="medium"/>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0" borderId="0">
      <alignment/>
      <protection/>
    </xf>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0" fontId="7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14" fillId="0" borderId="6" applyBorder="0">
      <alignment horizontal="center" vertical="center" wrapText="1"/>
      <protection/>
    </xf>
    <xf numFmtId="0" fontId="79" fillId="0" borderId="7" applyNumberFormat="0" applyFill="0" applyAlignment="0" applyProtection="0"/>
    <xf numFmtId="0" fontId="80" fillId="28" borderId="8" applyNumberFormat="0" applyAlignment="0" applyProtection="0"/>
    <xf numFmtId="0" fontId="81" fillId="0" borderId="0" applyNumberFormat="0" applyFill="0" applyBorder="0" applyAlignment="0" applyProtection="0"/>
    <xf numFmtId="0" fontId="82" fillId="29"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69" fillId="0" borderId="0">
      <alignment/>
      <protection/>
    </xf>
    <xf numFmtId="0" fontId="0" fillId="0" borderId="0">
      <alignment/>
      <protection/>
    </xf>
    <xf numFmtId="179" fontId="10" fillId="0" borderId="0">
      <alignment vertical="top"/>
      <protection/>
    </xf>
    <xf numFmtId="179" fontId="10" fillId="0" borderId="0">
      <alignment vertical="top"/>
      <protection/>
    </xf>
    <xf numFmtId="0" fontId="0" fillId="0" borderId="0">
      <alignment/>
      <protection/>
    </xf>
    <xf numFmtId="0" fontId="0" fillId="0" borderId="0">
      <alignment/>
      <protection/>
    </xf>
    <xf numFmtId="0" fontId="0" fillId="0" borderId="0">
      <alignment/>
      <protection/>
    </xf>
    <xf numFmtId="0" fontId="83" fillId="0" borderId="0" applyNumberFormat="0" applyFill="0" applyBorder="0" applyAlignment="0" applyProtection="0"/>
    <xf numFmtId="0" fontId="84" fillId="30" borderId="0" applyNumberFormat="0" applyBorder="0" applyAlignment="0" applyProtection="0"/>
    <xf numFmtId="0" fontId="85"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3" fillId="0" borderId="0" applyFont="0" applyFill="0" applyBorder="0" applyAlignment="0" applyProtection="0"/>
    <xf numFmtId="173" fontId="7" fillId="0" borderId="0" applyFont="0" applyFill="0" applyBorder="0" applyAlignment="0" applyProtection="0"/>
    <xf numFmtId="4" fontId="23" fillId="32" borderId="0" applyBorder="0">
      <alignment horizontal="right"/>
      <protection/>
    </xf>
    <xf numFmtId="0" fontId="88" fillId="33" borderId="0" applyNumberFormat="0" applyBorder="0" applyAlignment="0" applyProtection="0"/>
  </cellStyleXfs>
  <cellXfs count="26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6" fillId="0" borderId="11" xfId="0" applyFont="1" applyBorder="1" applyAlignment="1">
      <alignment horizontal="center" vertical="center"/>
    </xf>
    <xf numFmtId="0" fontId="6" fillId="0" borderId="0" xfId="0" applyFont="1" applyAlignment="1">
      <alignment/>
    </xf>
    <xf numFmtId="0" fontId="4" fillId="0" borderId="0" xfId="0" applyFont="1" applyAlignment="1">
      <alignment horizontal="center"/>
    </xf>
    <xf numFmtId="0" fontId="4" fillId="0" borderId="0" xfId="0" applyFont="1" applyAlignment="1">
      <alignment horizontal="left"/>
    </xf>
    <xf numFmtId="49" fontId="6" fillId="0" borderId="12" xfId="0" applyNumberFormat="1" applyFont="1" applyBorder="1" applyAlignment="1">
      <alignment horizontal="center" vertical="center"/>
    </xf>
    <xf numFmtId="0" fontId="6" fillId="0" borderId="12" xfId="0" applyFont="1" applyBorder="1" applyAlignment="1">
      <alignment horizontal="justify" vertical="center"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89" fillId="0" borderId="0" xfId="0" applyFont="1" applyAlignment="1">
      <alignment vertical="center"/>
    </xf>
    <xf numFmtId="0" fontId="9" fillId="0" borderId="0" xfId="0" applyFont="1" applyAlignment="1">
      <alignment/>
    </xf>
    <xf numFmtId="0" fontId="9" fillId="34" borderId="12" xfId="0" applyFont="1" applyFill="1" applyBorder="1" applyAlignment="1">
      <alignment horizontal="justify" vertical="center" wrapText="1"/>
    </xf>
    <xf numFmtId="0" fontId="9" fillId="34" borderId="12" xfId="0" applyFont="1" applyFill="1" applyBorder="1" applyAlignment="1">
      <alignment horizontal="center" vertical="center"/>
    </xf>
    <xf numFmtId="174" fontId="2" fillId="0" borderId="0" xfId="0" applyNumberFormat="1" applyFont="1" applyAlignment="1">
      <alignment/>
    </xf>
    <xf numFmtId="4" fontId="9" fillId="34" borderId="12" xfId="0" applyNumberFormat="1" applyFont="1" applyFill="1" applyBorder="1" applyAlignment="1">
      <alignment horizontal="center" vertical="center"/>
    </xf>
    <xf numFmtId="180" fontId="9" fillId="34" borderId="12" xfId="0" applyNumberFormat="1" applyFont="1" applyFill="1" applyBorder="1" applyAlignment="1">
      <alignment horizontal="center" vertical="center"/>
    </xf>
    <xf numFmtId="180" fontId="6" fillId="0" borderId="12" xfId="0" applyNumberFormat="1" applyFont="1" applyBorder="1" applyAlignment="1">
      <alignment horizontal="center" vertical="center"/>
    </xf>
    <xf numFmtId="0" fontId="1" fillId="0" borderId="12" xfId="0" applyFont="1" applyBorder="1" applyAlignment="1">
      <alignment horizontal="left" vertical="center" wrapText="1"/>
    </xf>
    <xf numFmtId="4" fontId="90" fillId="35" borderId="12" xfId="0" applyNumberFormat="1" applyFont="1" applyFill="1" applyBorder="1" applyAlignment="1">
      <alignment horizontal="center" vertical="center"/>
    </xf>
    <xf numFmtId="4" fontId="1" fillId="0" borderId="0" xfId="0" applyNumberFormat="1" applyFont="1" applyAlignment="1">
      <alignment/>
    </xf>
    <xf numFmtId="4" fontId="0" fillId="0" borderId="0" xfId="0" applyNumberFormat="1" applyAlignment="1">
      <alignment/>
    </xf>
    <xf numFmtId="4" fontId="2" fillId="0" borderId="0" xfId="0" applyNumberFormat="1" applyFont="1" applyAlignment="1">
      <alignment/>
    </xf>
    <xf numFmtId="4" fontId="6" fillId="0" borderId="12"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0" fontId="6" fillId="0" borderId="12" xfId="0" applyFont="1" applyFill="1" applyBorder="1" applyAlignment="1">
      <alignment horizontal="left" vertical="center" wrapText="1"/>
    </xf>
    <xf numFmtId="0" fontId="13" fillId="0" borderId="0" xfId="0" applyFont="1" applyAlignment="1">
      <alignment/>
    </xf>
    <xf numFmtId="0" fontId="3" fillId="0" borderId="0" xfId="0" applyFont="1" applyAlignment="1">
      <alignment horizontal="center" vertical="center"/>
    </xf>
    <xf numFmtId="0" fontId="15" fillId="0" borderId="12" xfId="58" applyNumberFormat="1" applyFont="1" applyFill="1" applyBorder="1" applyAlignment="1" applyProtection="1">
      <alignment vertical="center" wrapText="1"/>
      <protection/>
    </xf>
    <xf numFmtId="0" fontId="15" fillId="0" borderId="12" xfId="0" applyFont="1" applyFill="1" applyBorder="1" applyAlignment="1">
      <alignment horizontal="center" vertical="center" wrapText="1"/>
    </xf>
    <xf numFmtId="0" fontId="16" fillId="0" borderId="0" xfId="0" applyFont="1" applyFill="1" applyAlignment="1">
      <alignment/>
    </xf>
    <xf numFmtId="0" fontId="16" fillId="0" borderId="0" xfId="0" applyFont="1" applyAlignment="1">
      <alignment/>
    </xf>
    <xf numFmtId="0" fontId="15" fillId="0" borderId="0" xfId="0" applyFont="1" applyFill="1" applyAlignment="1">
      <alignment/>
    </xf>
    <xf numFmtId="0" fontId="15" fillId="0" borderId="0" xfId="0" applyFont="1" applyFill="1" applyAlignment="1">
      <alignment vertical="top" wrapText="1"/>
    </xf>
    <xf numFmtId="0" fontId="17" fillId="0" borderId="0" xfId="0" applyFont="1" applyAlignment="1">
      <alignment/>
    </xf>
    <xf numFmtId="181" fontId="18" fillId="0" borderId="0" xfId="0" applyNumberFormat="1" applyFont="1" applyFill="1" applyAlignment="1">
      <alignment/>
    </xf>
    <xf numFmtId="0" fontId="18" fillId="0" borderId="0" xfId="0" applyFont="1" applyFill="1" applyAlignment="1">
      <alignment/>
    </xf>
    <xf numFmtId="181" fontId="18" fillId="36" borderId="0" xfId="0" applyNumberFormat="1" applyFont="1" applyFill="1" applyAlignment="1">
      <alignment horizontal="center"/>
    </xf>
    <xf numFmtId="181" fontId="18" fillId="0" borderId="0" xfId="0" applyNumberFormat="1" applyFont="1" applyFill="1" applyAlignment="1">
      <alignment/>
    </xf>
    <xf numFmtId="181" fontId="0" fillId="0" borderId="0" xfId="0" applyNumberFormat="1" applyFill="1" applyAlignment="1">
      <alignment/>
    </xf>
    <xf numFmtId="0" fontId="0" fillId="0" borderId="0" xfId="0" applyFill="1" applyAlignment="1">
      <alignment/>
    </xf>
    <xf numFmtId="3" fontId="0" fillId="0" borderId="0" xfId="0" applyNumberFormat="1" applyFill="1" applyAlignment="1">
      <alignment/>
    </xf>
    <xf numFmtId="0" fontId="19" fillId="0" borderId="0" xfId="0" applyFont="1" applyFill="1" applyAlignment="1">
      <alignment/>
    </xf>
    <xf numFmtId="0" fontId="19" fillId="0" borderId="0" xfId="0" applyFont="1" applyFill="1" applyAlignment="1">
      <alignment vertical="top" wrapText="1"/>
    </xf>
    <xf numFmtId="180" fontId="17" fillId="0" borderId="0" xfId="0" applyNumberFormat="1" applyFont="1" applyFill="1" applyAlignment="1">
      <alignment/>
    </xf>
    <xf numFmtId="4" fontId="0" fillId="0" borderId="0" xfId="0" applyNumberFormat="1" applyAlignment="1">
      <alignment horizontal="center"/>
    </xf>
    <xf numFmtId="0" fontId="79" fillId="2" borderId="0" xfId="0" applyFont="1" applyFill="1" applyAlignment="1">
      <alignment/>
    </xf>
    <xf numFmtId="4" fontId="79" fillId="2" borderId="0" xfId="0" applyNumberFormat="1" applyFont="1" applyFill="1" applyAlignment="1">
      <alignment horizontal="center"/>
    </xf>
    <xf numFmtId="0" fontId="79" fillId="0" borderId="0" xfId="0" applyFont="1" applyAlignment="1">
      <alignment/>
    </xf>
    <xf numFmtId="0" fontId="0" fillId="2" borderId="0" xfId="0" applyFill="1" applyAlignment="1">
      <alignment/>
    </xf>
    <xf numFmtId="4" fontId="0" fillId="2" borderId="0" xfId="0" applyNumberFormat="1" applyFill="1" applyAlignment="1">
      <alignment horizontal="center"/>
    </xf>
    <xf numFmtId="0" fontId="0" fillId="0" borderId="0" xfId="0" applyAlignment="1">
      <alignment horizontal="center"/>
    </xf>
    <xf numFmtId="180" fontId="2" fillId="0" borderId="0" xfId="0" applyNumberFormat="1" applyFont="1" applyAlignment="1">
      <alignment/>
    </xf>
    <xf numFmtId="180" fontId="91" fillId="0" borderId="0" xfId="0" applyNumberFormat="1" applyFont="1" applyFill="1" applyAlignment="1">
      <alignment/>
    </xf>
    <xf numFmtId="4" fontId="2" fillId="0" borderId="0" xfId="0" applyNumberFormat="1" applyFont="1" applyFill="1" applyAlignment="1">
      <alignment/>
    </xf>
    <xf numFmtId="0" fontId="12" fillId="37" borderId="12" xfId="0" applyFont="1" applyFill="1" applyBorder="1" applyAlignment="1">
      <alignment horizontal="right" vertical="center" wrapText="1"/>
    </xf>
    <xf numFmtId="0" fontId="12" fillId="37" borderId="12" xfId="0" applyFont="1" applyFill="1" applyBorder="1" applyAlignment="1">
      <alignment horizontal="center" vertical="center"/>
    </xf>
    <xf numFmtId="0" fontId="6" fillId="37" borderId="0" xfId="0" applyFont="1" applyFill="1" applyAlignment="1">
      <alignment/>
    </xf>
    <xf numFmtId="0" fontId="6" fillId="0" borderId="12" xfId="0" applyFont="1" applyFill="1" applyBorder="1" applyAlignment="1">
      <alignment horizontal="center" vertical="center"/>
    </xf>
    <xf numFmtId="0" fontId="20" fillId="0" borderId="12" xfId="58" applyNumberFormat="1" applyFont="1" applyFill="1" applyBorder="1" applyAlignment="1" applyProtection="1">
      <alignment vertical="center" wrapText="1"/>
      <protection/>
    </xf>
    <xf numFmtId="0" fontId="21" fillId="0" borderId="0" xfId="0" applyFont="1" applyFill="1" applyAlignment="1">
      <alignment/>
    </xf>
    <xf numFmtId="0" fontId="21" fillId="0" borderId="0" xfId="0" applyFont="1" applyAlignment="1">
      <alignment/>
    </xf>
    <xf numFmtId="0" fontId="5" fillId="0" borderId="0" xfId="0" applyFont="1" applyAlignment="1">
      <alignment horizontal="justify" wrapText="1"/>
    </xf>
    <xf numFmtId="0" fontId="1" fillId="0" borderId="0" xfId="0" applyFont="1" applyAlignment="1">
      <alignment horizontal="justify" wrapText="1"/>
    </xf>
    <xf numFmtId="0" fontId="25" fillId="0" borderId="12" xfId="0" applyFont="1" applyFill="1" applyBorder="1" applyAlignment="1">
      <alignment horizontal="center" vertical="center" wrapText="1"/>
    </xf>
    <xf numFmtId="0" fontId="10" fillId="0" borderId="0" xfId="56" applyAlignment="1">
      <alignment vertical="center"/>
      <protection/>
    </xf>
    <xf numFmtId="0" fontId="11" fillId="38" borderId="13" xfId="56" applyNumberFormat="1" applyFont="1" applyFill="1" applyBorder="1" applyAlignment="1">
      <alignment horizontal="center" vertical="center" wrapText="1"/>
      <protection/>
    </xf>
    <xf numFmtId="0" fontId="11" fillId="38" borderId="14" xfId="56" applyNumberFormat="1" applyFont="1" applyFill="1" applyBorder="1" applyAlignment="1">
      <alignment horizontal="center" vertical="center" wrapText="1"/>
      <protection/>
    </xf>
    <xf numFmtId="0" fontId="10" fillId="3" borderId="15" xfId="56" applyNumberFormat="1" applyFont="1" applyFill="1" applyBorder="1" applyAlignment="1">
      <alignment horizontal="left" vertical="center" wrapText="1"/>
      <protection/>
    </xf>
    <xf numFmtId="1" fontId="10" fillId="3" borderId="16" xfId="56" applyNumberFormat="1" applyFont="1" applyFill="1" applyBorder="1" applyAlignment="1">
      <alignment horizontal="left" vertical="center" wrapText="1"/>
      <protection/>
    </xf>
    <xf numFmtId="4" fontId="10" fillId="3" borderId="16" xfId="56" applyNumberFormat="1" applyFont="1" applyFill="1" applyBorder="1" applyAlignment="1">
      <alignment horizontal="center" vertical="center"/>
      <protection/>
    </xf>
    <xf numFmtId="0" fontId="10" fillId="3" borderId="17" xfId="56" applyNumberFormat="1" applyFont="1" applyFill="1" applyBorder="1" applyAlignment="1">
      <alignment horizontal="left" vertical="center" wrapText="1"/>
      <protection/>
    </xf>
    <xf numFmtId="1" fontId="10" fillId="3" borderId="12" xfId="56" applyNumberFormat="1" applyFont="1" applyFill="1" applyBorder="1" applyAlignment="1">
      <alignment horizontal="left" vertical="center" wrapText="1"/>
      <protection/>
    </xf>
    <xf numFmtId="4" fontId="10" fillId="3" borderId="12" xfId="56" applyNumberFormat="1" applyFont="1" applyFill="1" applyBorder="1" applyAlignment="1">
      <alignment horizontal="center" vertical="center"/>
      <protection/>
    </xf>
    <xf numFmtId="0" fontId="26" fillId="3" borderId="18" xfId="56" applyNumberFormat="1" applyFont="1" applyFill="1" applyBorder="1" applyAlignment="1">
      <alignment horizontal="left" vertical="center" wrapText="1"/>
      <protection/>
    </xf>
    <xf numFmtId="0" fontId="26" fillId="3" borderId="19" xfId="56" applyNumberFormat="1" applyFont="1" applyFill="1" applyBorder="1" applyAlignment="1">
      <alignment horizontal="left" vertical="center" wrapText="1"/>
      <protection/>
    </xf>
    <xf numFmtId="4" fontId="26" fillId="3" borderId="19" xfId="56" applyNumberFormat="1" applyFont="1" applyFill="1" applyBorder="1" applyAlignment="1">
      <alignment horizontal="center" vertical="center"/>
      <protection/>
    </xf>
    <xf numFmtId="0" fontId="26" fillId="0" borderId="0" xfId="56" applyFont="1" applyAlignment="1">
      <alignment vertical="center"/>
      <protection/>
    </xf>
    <xf numFmtId="0" fontId="26" fillId="36" borderId="20" xfId="56" applyNumberFormat="1" applyFont="1" applyFill="1" applyBorder="1" applyAlignment="1">
      <alignment horizontal="left" vertical="center" wrapText="1"/>
      <protection/>
    </xf>
    <xf numFmtId="1" fontId="26" fillId="36" borderId="21" xfId="56" applyNumberFormat="1" applyFont="1" applyFill="1" applyBorder="1" applyAlignment="1">
      <alignment horizontal="left" vertical="center" wrapText="1"/>
      <protection/>
    </xf>
    <xf numFmtId="4" fontId="26" fillId="39" borderId="21" xfId="0" applyNumberFormat="1" applyFont="1" applyFill="1" applyBorder="1" applyAlignment="1">
      <alignment horizontal="center" vertical="center"/>
    </xf>
    <xf numFmtId="0" fontId="10" fillId="3" borderId="16" xfId="56" applyNumberFormat="1" applyFont="1" applyFill="1" applyBorder="1" applyAlignment="1">
      <alignment horizontal="left" vertical="center" wrapText="1"/>
      <protection/>
    </xf>
    <xf numFmtId="0" fontId="10" fillId="3" borderId="12" xfId="56" applyNumberFormat="1" applyFont="1" applyFill="1" applyBorder="1" applyAlignment="1">
      <alignment horizontal="left" vertical="center" wrapText="1"/>
      <protection/>
    </xf>
    <xf numFmtId="0" fontId="10" fillId="0" borderId="17" xfId="56" applyNumberFormat="1" applyFont="1" applyBorder="1" applyAlignment="1">
      <alignment horizontal="left" vertical="center" wrapText="1"/>
      <protection/>
    </xf>
    <xf numFmtId="0" fontId="10" fillId="0" borderId="12" xfId="56" applyNumberFormat="1" applyFont="1" applyBorder="1" applyAlignment="1">
      <alignment horizontal="left" vertical="center" wrapText="1"/>
      <protection/>
    </xf>
    <xf numFmtId="4" fontId="10" fillId="0" borderId="12" xfId="0" applyNumberFormat="1" applyFont="1" applyFill="1" applyBorder="1" applyAlignment="1">
      <alignment horizontal="center" vertical="center"/>
    </xf>
    <xf numFmtId="0" fontId="10" fillId="35" borderId="17" xfId="56" applyNumberFormat="1" applyFont="1" applyFill="1" applyBorder="1" applyAlignment="1">
      <alignment horizontal="left" vertical="center" wrapText="1"/>
      <protection/>
    </xf>
    <xf numFmtId="0" fontId="10" fillId="35" borderId="12" xfId="56" applyNumberFormat="1" applyFont="1" applyFill="1" applyBorder="1" applyAlignment="1">
      <alignment horizontal="left" vertical="center" wrapText="1"/>
      <protection/>
    </xf>
    <xf numFmtId="0" fontId="92" fillId="0" borderId="17" xfId="56" applyNumberFormat="1" applyFont="1" applyBorder="1" applyAlignment="1">
      <alignment horizontal="left" vertical="center" wrapText="1"/>
      <protection/>
    </xf>
    <xf numFmtId="4" fontId="10" fillId="40" borderId="12" xfId="0" applyNumberFormat="1" applyFont="1" applyFill="1" applyBorder="1" applyAlignment="1">
      <alignment horizontal="center" vertical="center"/>
    </xf>
    <xf numFmtId="4" fontId="10" fillId="0" borderId="12" xfId="0" applyNumberFormat="1" applyFont="1" applyFill="1" applyBorder="1" applyAlignment="1">
      <alignment horizontal="center" vertical="center" wrapText="1"/>
    </xf>
    <xf numFmtId="0" fontId="10" fillId="41" borderId="17" xfId="56" applyNumberFormat="1" applyFont="1" applyFill="1" applyBorder="1" applyAlignment="1">
      <alignment horizontal="left" vertical="center" wrapText="1"/>
      <protection/>
    </xf>
    <xf numFmtId="0" fontId="10" fillId="41" borderId="12" xfId="56" applyNumberFormat="1" applyFont="1" applyFill="1" applyBorder="1" applyAlignment="1">
      <alignment horizontal="left" vertical="center" wrapText="1"/>
      <protection/>
    </xf>
    <xf numFmtId="4" fontId="10" fillId="42" borderId="12" xfId="59" applyNumberFormat="1" applyFont="1" applyFill="1" applyBorder="1" applyAlignment="1">
      <alignment horizontal="center" vertical="center"/>
      <protection/>
    </xf>
    <xf numFmtId="0" fontId="10" fillId="43" borderId="17" xfId="56" applyNumberFormat="1" applyFont="1" applyFill="1" applyBorder="1" applyAlignment="1">
      <alignment horizontal="left" vertical="center" wrapText="1"/>
      <protection/>
    </xf>
    <xf numFmtId="4" fontId="10" fillId="44" borderId="12" xfId="59" applyNumberFormat="1" applyFont="1" applyFill="1" applyBorder="1" applyAlignment="1">
      <alignment horizontal="center" vertical="center"/>
      <protection/>
    </xf>
    <xf numFmtId="0" fontId="26" fillId="36" borderId="18" xfId="56" applyNumberFormat="1" applyFont="1" applyFill="1" applyBorder="1" applyAlignment="1">
      <alignment horizontal="left" vertical="center" wrapText="1"/>
      <protection/>
    </xf>
    <xf numFmtId="0" fontId="26" fillId="36" borderId="19" xfId="56" applyNumberFormat="1" applyFont="1" applyFill="1" applyBorder="1" applyAlignment="1">
      <alignment horizontal="left" vertical="center" wrapText="1"/>
      <protection/>
    </xf>
    <xf numFmtId="4" fontId="26" fillId="39" borderId="19" xfId="0" applyNumberFormat="1" applyFont="1" applyFill="1" applyBorder="1" applyAlignment="1">
      <alignment horizontal="center" vertical="center"/>
    </xf>
    <xf numFmtId="0" fontId="10" fillId="0" borderId="15" xfId="56" applyNumberFormat="1" applyFont="1" applyBorder="1" applyAlignment="1">
      <alignment horizontal="left" vertical="center" wrapText="1"/>
      <protection/>
    </xf>
    <xf numFmtId="0" fontId="10" fillId="0" borderId="16" xfId="56" applyNumberFormat="1" applyFont="1" applyBorder="1" applyAlignment="1">
      <alignment horizontal="left" vertical="center" wrapText="1"/>
      <protection/>
    </xf>
    <xf numFmtId="4" fontId="10" fillId="0" borderId="16" xfId="0" applyNumberFormat="1" applyFont="1" applyFill="1" applyBorder="1" applyAlignment="1">
      <alignment horizontal="center" vertical="center"/>
    </xf>
    <xf numFmtId="4" fontId="10" fillId="0" borderId="12" xfId="56" applyNumberFormat="1" applyFont="1" applyFill="1" applyBorder="1" applyAlignment="1">
      <alignment horizontal="center" vertical="center"/>
      <protection/>
    </xf>
    <xf numFmtId="4" fontId="10" fillId="18" borderId="12" xfId="0" applyNumberFormat="1" applyFont="1" applyFill="1" applyBorder="1" applyAlignment="1">
      <alignment horizontal="center" vertical="center" wrapText="1"/>
    </xf>
    <xf numFmtId="4" fontId="10" fillId="18" borderId="12" xfId="56" applyNumberFormat="1" applyFont="1" applyFill="1" applyBorder="1" applyAlignment="1">
      <alignment horizontal="center" vertical="center"/>
      <protection/>
    </xf>
    <xf numFmtId="0" fontId="10" fillId="0" borderId="22" xfId="56" applyNumberFormat="1" applyFont="1" applyBorder="1" applyAlignment="1">
      <alignment horizontal="left" vertical="center" wrapText="1"/>
      <protection/>
    </xf>
    <xf numFmtId="4" fontId="10" fillId="0" borderId="22" xfId="0" applyNumberFormat="1" applyFont="1" applyFill="1" applyBorder="1" applyAlignment="1">
      <alignment horizontal="center" vertical="center" wrapText="1"/>
    </xf>
    <xf numFmtId="1" fontId="26" fillId="36" borderId="19" xfId="56" applyNumberFormat="1" applyFont="1" applyFill="1" applyBorder="1" applyAlignment="1">
      <alignment horizontal="left" vertical="center" wrapText="1"/>
      <protection/>
    </xf>
    <xf numFmtId="0" fontId="26" fillId="43" borderId="23" xfId="56" applyNumberFormat="1" applyFont="1" applyFill="1" applyBorder="1" applyAlignment="1">
      <alignment vertical="center" wrapText="1"/>
      <protection/>
    </xf>
    <xf numFmtId="0" fontId="26" fillId="43" borderId="19" xfId="56" applyNumberFormat="1" applyFont="1" applyFill="1" applyBorder="1" applyAlignment="1">
      <alignment horizontal="left" vertical="center" wrapText="1"/>
      <protection/>
    </xf>
    <xf numFmtId="4" fontId="26" fillId="43" borderId="19" xfId="56" applyNumberFormat="1" applyFont="1" applyFill="1" applyBorder="1" applyAlignment="1">
      <alignment horizontal="center" vertical="center" wrapText="1"/>
      <protection/>
    </xf>
    <xf numFmtId="0" fontId="26" fillId="36" borderId="24" xfId="56" applyNumberFormat="1" applyFont="1" applyFill="1" applyBorder="1" applyAlignment="1">
      <alignment horizontal="left" vertical="center" wrapText="1"/>
      <protection/>
    </xf>
    <xf numFmtId="1" fontId="26" fillId="36" borderId="25" xfId="56" applyNumberFormat="1" applyFont="1" applyFill="1" applyBorder="1" applyAlignment="1">
      <alignment horizontal="left" vertical="center" wrapText="1"/>
      <protection/>
    </xf>
    <xf numFmtId="4" fontId="26" fillId="39" borderId="25" xfId="0" applyNumberFormat="1" applyFont="1" applyFill="1" applyBorder="1" applyAlignment="1">
      <alignment horizontal="center" vertical="center"/>
    </xf>
    <xf numFmtId="0" fontId="10" fillId="0" borderId="26" xfId="56" applyNumberFormat="1" applyFont="1" applyBorder="1" applyAlignment="1">
      <alignment horizontal="left" vertical="center" wrapText="1"/>
      <protection/>
    </xf>
    <xf numFmtId="0" fontId="26" fillId="43" borderId="18" xfId="56" applyNumberFormat="1" applyFont="1" applyFill="1" applyBorder="1" applyAlignment="1">
      <alignment horizontal="left" vertical="center" wrapText="1"/>
      <protection/>
    </xf>
    <xf numFmtId="1" fontId="26" fillId="43" borderId="19" xfId="56" applyNumberFormat="1" applyFont="1" applyFill="1" applyBorder="1" applyAlignment="1">
      <alignment horizontal="left" vertical="center" wrapText="1"/>
      <protection/>
    </xf>
    <xf numFmtId="4" fontId="26" fillId="0" borderId="19" xfId="56" applyNumberFormat="1" applyFont="1" applyFill="1" applyBorder="1" applyAlignment="1">
      <alignment horizontal="center" vertical="center" wrapText="1"/>
      <protection/>
    </xf>
    <xf numFmtId="0" fontId="26" fillId="45" borderId="24" xfId="56" applyNumberFormat="1" applyFont="1" applyFill="1" applyBorder="1" applyAlignment="1">
      <alignment vertical="center" wrapText="1"/>
      <protection/>
    </xf>
    <xf numFmtId="181" fontId="26" fillId="45" borderId="25" xfId="56" applyNumberFormat="1" applyFont="1" applyFill="1" applyBorder="1" applyAlignment="1">
      <alignment vertical="center"/>
      <protection/>
    </xf>
    <xf numFmtId="4" fontId="26" fillId="46" borderId="25" xfId="0" applyNumberFormat="1" applyFont="1" applyFill="1" applyBorder="1" applyAlignment="1">
      <alignment horizontal="center" vertical="center"/>
    </xf>
    <xf numFmtId="4" fontId="10" fillId="3" borderId="21" xfId="56" applyNumberFormat="1" applyFont="1" applyFill="1" applyBorder="1" applyAlignment="1">
      <alignment horizontal="center" vertical="center"/>
      <protection/>
    </xf>
    <xf numFmtId="4" fontId="9" fillId="0" borderId="12" xfId="0" applyNumberFormat="1" applyFont="1" applyBorder="1" applyAlignment="1">
      <alignment horizontal="center" vertical="center"/>
    </xf>
    <xf numFmtId="4" fontId="13" fillId="0" borderId="0" xfId="0" applyNumberFormat="1" applyFont="1" applyAlignment="1">
      <alignment/>
    </xf>
    <xf numFmtId="180" fontId="0" fillId="0" borderId="0" xfId="0" applyNumberFormat="1" applyAlignment="1">
      <alignment/>
    </xf>
    <xf numFmtId="10" fontId="6" fillId="0" borderId="12" xfId="0" applyNumberFormat="1" applyFont="1" applyFill="1" applyBorder="1" applyAlignment="1">
      <alignment horizontal="left" vertical="center" wrapText="1"/>
    </xf>
    <xf numFmtId="49" fontId="6" fillId="0" borderId="12" xfId="0" applyNumberFormat="1" applyFont="1" applyBorder="1" applyAlignment="1">
      <alignment horizontal="left" vertical="center"/>
    </xf>
    <xf numFmtId="49" fontId="9" fillId="34" borderId="12" xfId="0" applyNumberFormat="1" applyFont="1" applyFill="1" applyBorder="1" applyAlignment="1">
      <alignment horizontal="left" vertical="center"/>
    </xf>
    <xf numFmtId="49" fontId="12" fillId="37" borderId="12" xfId="0" applyNumberFormat="1" applyFont="1" applyFill="1" applyBorder="1" applyAlignment="1">
      <alignment horizontal="left" vertical="center"/>
    </xf>
    <xf numFmtId="180" fontId="13" fillId="0" borderId="0" xfId="0" applyNumberFormat="1" applyFont="1" applyFill="1" applyAlignment="1">
      <alignment/>
    </xf>
    <xf numFmtId="173" fontId="28" fillId="0" borderId="16" xfId="75" applyFont="1" applyFill="1" applyBorder="1" applyAlignment="1" applyProtection="1">
      <alignment horizontal="center" vertical="center" wrapText="1"/>
      <protection/>
    </xf>
    <xf numFmtId="9" fontId="2" fillId="0" borderId="0" xfId="69" applyFont="1" applyAlignment="1">
      <alignment/>
    </xf>
    <xf numFmtId="0" fontId="15" fillId="0" borderId="12" xfId="50" applyFont="1" applyFill="1" applyBorder="1" applyAlignment="1">
      <alignment horizontal="center" vertical="center" wrapText="1"/>
      <protection/>
    </xf>
    <xf numFmtId="0" fontId="15" fillId="0" borderId="12" xfId="50" applyFont="1" applyFill="1" applyBorder="1">
      <alignment horizontal="center" vertical="center" wrapText="1"/>
      <protection/>
    </xf>
    <xf numFmtId="180" fontId="3" fillId="0" borderId="12" xfId="0" applyNumberFormat="1" applyFont="1" applyBorder="1" applyAlignment="1">
      <alignment horizontal="center" vertical="center" wrapText="1"/>
    </xf>
    <xf numFmtId="0" fontId="2" fillId="0" borderId="12" xfId="0" applyNumberFormat="1" applyFont="1" applyBorder="1" applyAlignment="1">
      <alignment horizontal="left" vertical="top"/>
    </xf>
    <xf numFmtId="0" fontId="15" fillId="0" borderId="12" xfId="0" applyFont="1" applyFill="1" applyBorder="1" applyAlignment="1">
      <alignment horizontal="right" vertical="center"/>
    </xf>
    <xf numFmtId="180" fontId="3"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top" wrapText="1"/>
    </xf>
    <xf numFmtId="0" fontId="2" fillId="0" borderId="12" xfId="0" applyNumberFormat="1" applyFont="1" applyFill="1" applyBorder="1" applyAlignment="1">
      <alignment horizontal="left" vertical="top"/>
    </xf>
    <xf numFmtId="0" fontId="15" fillId="0" borderId="12" xfId="0" applyFont="1" applyFill="1" applyBorder="1" applyAlignment="1">
      <alignment horizontal="right" vertical="center" wrapText="1"/>
    </xf>
    <xf numFmtId="0" fontId="20" fillId="0" borderId="12" xfId="0" applyFont="1" applyFill="1" applyBorder="1" applyAlignment="1">
      <alignment horizontal="right"/>
    </xf>
    <xf numFmtId="0" fontId="20" fillId="0" borderId="12" xfId="0" applyFont="1" applyFill="1" applyBorder="1" applyAlignment="1">
      <alignment horizontal="center" vertical="center" wrapText="1"/>
    </xf>
    <xf numFmtId="180" fontId="21" fillId="0" borderId="12" xfId="0" applyNumberFormat="1" applyFont="1" applyFill="1" applyBorder="1" applyAlignment="1">
      <alignment horizontal="center" vertical="center" wrapText="1"/>
    </xf>
    <xf numFmtId="0" fontId="21" fillId="0" borderId="12" xfId="0" applyNumberFormat="1" applyFont="1" applyFill="1" applyBorder="1" applyAlignment="1">
      <alignment horizontal="left" vertical="top"/>
    </xf>
    <xf numFmtId="0" fontId="20" fillId="0" borderId="12" xfId="0" applyFont="1" applyFill="1" applyBorder="1" applyAlignment="1">
      <alignment horizontal="right" vertical="center"/>
    </xf>
    <xf numFmtId="49" fontId="15" fillId="0" borderId="12" xfId="50" applyNumberFormat="1" applyFont="1" applyFill="1" applyBorder="1">
      <alignment horizontal="center" vertical="center" wrapText="1"/>
      <protection/>
    </xf>
    <xf numFmtId="0" fontId="15" fillId="0" borderId="12" xfId="50" applyFont="1" applyFill="1" applyBorder="1" applyAlignment="1">
      <alignment horizontal="left" vertical="center" wrapText="1"/>
      <protection/>
    </xf>
    <xf numFmtId="0" fontId="25" fillId="0" borderId="12" xfId="50" applyFont="1" applyFill="1" applyBorder="1">
      <alignment horizontal="center" vertical="center" wrapText="1"/>
      <protection/>
    </xf>
    <xf numFmtId="0" fontId="0" fillId="0" borderId="0" xfId="0" applyFont="1" applyAlignment="1">
      <alignment/>
    </xf>
    <xf numFmtId="0" fontId="16" fillId="36" borderId="0" xfId="0" applyFont="1" applyFill="1" applyAlignment="1">
      <alignment horizontal="center"/>
    </xf>
    <xf numFmtId="4" fontId="16" fillId="0" borderId="0" xfId="0" applyNumberFormat="1" applyFont="1" applyAlignment="1">
      <alignment/>
    </xf>
    <xf numFmtId="180" fontId="16" fillId="0" borderId="0" xfId="0" applyNumberFormat="1" applyFont="1" applyAlignment="1">
      <alignment/>
    </xf>
    <xf numFmtId="2" fontId="0" fillId="0" borderId="0" xfId="0" applyNumberFormat="1" applyAlignment="1">
      <alignment/>
    </xf>
    <xf numFmtId="4" fontId="29" fillId="0" borderId="0" xfId="0" applyNumberFormat="1" applyFont="1" applyFill="1" applyAlignment="1">
      <alignment/>
    </xf>
    <xf numFmtId="4" fontId="10" fillId="0" borderId="0" xfId="56" applyNumberFormat="1" applyAlignment="1">
      <alignment vertical="center"/>
      <protection/>
    </xf>
    <xf numFmtId="4" fontId="10" fillId="47" borderId="12" xfId="0" applyNumberFormat="1" applyFont="1" applyFill="1" applyBorder="1" applyAlignment="1">
      <alignment horizontal="center" vertical="center" wrapText="1"/>
    </xf>
    <xf numFmtId="4" fontId="3" fillId="0" borderId="12" xfId="72" applyNumberFormat="1" applyFont="1" applyFill="1" applyBorder="1" applyAlignment="1">
      <alignment horizontal="center" vertical="center" wrapText="1"/>
    </xf>
    <xf numFmtId="49" fontId="9" fillId="0" borderId="12" xfId="0" applyNumberFormat="1" applyFont="1" applyBorder="1" applyAlignment="1">
      <alignment horizontal="left" vertical="center"/>
    </xf>
    <xf numFmtId="0" fontId="9" fillId="0" borderId="12" xfId="0" applyFont="1" applyBorder="1" applyAlignment="1">
      <alignment horizontal="justify" vertical="center" wrapText="1"/>
    </xf>
    <xf numFmtId="0" fontId="9" fillId="0" borderId="12" xfId="0" applyFont="1" applyBorder="1" applyAlignment="1">
      <alignment horizontal="center" vertical="center"/>
    </xf>
    <xf numFmtId="182" fontId="0" fillId="0" borderId="0" xfId="0" applyNumberFormat="1" applyAlignment="1">
      <alignment/>
    </xf>
    <xf numFmtId="182" fontId="0" fillId="2" borderId="0" xfId="0" applyNumberFormat="1" applyFill="1" applyAlignment="1">
      <alignment/>
    </xf>
    <xf numFmtId="4" fontId="0" fillId="2" borderId="0" xfId="0" applyNumberFormat="1" applyFill="1" applyAlignment="1">
      <alignment/>
    </xf>
    <xf numFmtId="0" fontId="93" fillId="0" borderId="17" xfId="56" applyNumberFormat="1" applyFont="1" applyBorder="1" applyAlignment="1">
      <alignment horizontal="left" vertical="center" wrapText="1"/>
      <protection/>
    </xf>
    <xf numFmtId="4" fontId="10" fillId="12" borderId="12" xfId="0" applyNumberFormat="1" applyFont="1" applyFill="1" applyBorder="1" applyAlignment="1">
      <alignment horizontal="center" vertical="center"/>
    </xf>
    <xf numFmtId="14" fontId="10" fillId="0" borderId="12" xfId="56" applyNumberFormat="1" applyFont="1" applyBorder="1" applyAlignment="1">
      <alignment horizontal="left" vertical="center" wrapText="1"/>
      <protection/>
    </xf>
    <xf numFmtId="2" fontId="10" fillId="0" borderId="0" xfId="56" applyNumberFormat="1" applyAlignment="1">
      <alignment vertical="center"/>
      <protection/>
    </xf>
    <xf numFmtId="4" fontId="10" fillId="44" borderId="12" xfId="59" applyNumberFormat="1" applyFont="1" applyFill="1" applyBorder="1" applyAlignment="1">
      <alignment horizontal="right" vertical="center"/>
      <protection/>
    </xf>
    <xf numFmtId="4" fontId="10" fillId="18" borderId="17" xfId="0" applyNumberFormat="1" applyFont="1" applyFill="1" applyBorder="1" applyAlignment="1">
      <alignment horizontal="left" vertical="center" wrapText="1"/>
    </xf>
    <xf numFmtId="0" fontId="94" fillId="0" borderId="12" xfId="60" applyNumberFormat="1" applyFont="1" applyFill="1" applyBorder="1" applyAlignment="1">
      <alignment vertical="center" wrapText="1"/>
      <protection/>
    </xf>
    <xf numFmtId="0" fontId="95" fillId="48" borderId="27" xfId="61" applyNumberFormat="1" applyFont="1" applyFill="1" applyBorder="1" applyAlignment="1">
      <alignment vertical="center" wrapText="1"/>
      <protection/>
    </xf>
    <xf numFmtId="0" fontId="96" fillId="0" borderId="17" xfId="56" applyNumberFormat="1" applyFont="1" applyBorder="1" applyAlignment="1">
      <alignment horizontal="left" vertical="center" wrapText="1"/>
      <protection/>
    </xf>
    <xf numFmtId="0" fontId="10" fillId="48" borderId="17" xfId="56" applyNumberFormat="1" applyFont="1" applyFill="1" applyBorder="1" applyAlignment="1">
      <alignment horizontal="left" vertical="center" wrapText="1"/>
      <protection/>
    </xf>
    <xf numFmtId="4" fontId="0" fillId="0" borderId="0" xfId="0" applyNumberFormat="1" applyFill="1" applyAlignment="1">
      <alignment horizontal="center"/>
    </xf>
    <xf numFmtId="178" fontId="0" fillId="0" borderId="0" xfId="0" applyNumberFormat="1" applyAlignment="1">
      <alignment/>
    </xf>
    <xf numFmtId="0" fontId="1" fillId="35" borderId="12"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22" fillId="0" borderId="12" xfId="0" applyNumberFormat="1" applyFont="1" applyFill="1" applyBorder="1" applyAlignment="1">
      <alignment horizontal="left" vertical="center" wrapText="1"/>
    </xf>
    <xf numFmtId="4" fontId="1" fillId="0" borderId="12" xfId="72" applyNumberFormat="1" applyFont="1" applyFill="1" applyBorder="1" applyAlignment="1">
      <alignment horizontal="center" vertical="center"/>
    </xf>
    <xf numFmtId="0" fontId="24" fillId="0" borderId="12" xfId="63" applyNumberFormat="1" applyFont="1" applyFill="1" applyBorder="1" applyAlignment="1">
      <alignment horizontal="right" vertical="center" wrapText="1"/>
      <protection/>
    </xf>
    <xf numFmtId="0" fontId="33" fillId="0" borderId="12" xfId="63" applyNumberFormat="1" applyFont="1" applyFill="1" applyBorder="1" applyAlignment="1">
      <alignment vertical="center" wrapText="1"/>
      <protection/>
    </xf>
    <xf numFmtId="0" fontId="34" fillId="0" borderId="0" xfId="0" applyFont="1" applyAlignment="1">
      <alignment/>
    </xf>
    <xf numFmtId="0" fontId="34" fillId="0" borderId="0" xfId="0" applyFont="1" applyAlignment="1">
      <alignment horizontal="center"/>
    </xf>
    <xf numFmtId="0" fontId="97" fillId="0" borderId="12" xfId="0" applyFont="1" applyFill="1" applyBorder="1" applyAlignment="1">
      <alignment horizontal="left" vertical="center" wrapText="1"/>
    </xf>
    <xf numFmtId="180" fontId="25" fillId="0" borderId="12" xfId="76" applyNumberFormat="1" applyFont="1" applyFill="1" applyBorder="1" applyAlignment="1">
      <alignment horizontal="left" vertical="center" wrapText="1"/>
      <protection/>
    </xf>
    <xf numFmtId="180" fontId="1" fillId="0" borderId="12" xfId="76" applyNumberFormat="1" applyFont="1" applyFill="1" applyBorder="1" applyAlignment="1">
      <alignment horizontal="left" vertical="center" wrapText="1"/>
      <protection/>
    </xf>
    <xf numFmtId="0" fontId="24" fillId="0" borderId="28" xfId="63" applyNumberFormat="1" applyFont="1" applyFill="1" applyBorder="1" applyAlignment="1">
      <alignment horizontal="right" vertical="center" wrapText="1"/>
      <protection/>
    </xf>
    <xf numFmtId="4" fontId="9" fillId="0" borderId="12" xfId="0" applyNumberFormat="1" applyFont="1" applyFill="1" applyBorder="1" applyAlignment="1">
      <alignment horizontal="center" vertical="center"/>
    </xf>
    <xf numFmtId="0" fontId="1" fillId="0" borderId="12" xfId="0" applyFont="1" applyFill="1" applyBorder="1" applyAlignment="1">
      <alignment horizontal="left" vertical="center" wrapText="1"/>
    </xf>
    <xf numFmtId="0" fontId="33" fillId="34" borderId="12" xfId="0" applyFont="1" applyFill="1" applyBorder="1" applyAlignment="1">
      <alignment horizontal="left" vertical="center" wrapText="1"/>
    </xf>
    <xf numFmtId="180" fontId="98" fillId="0" borderId="29" xfId="0" applyNumberFormat="1" applyFont="1" applyFill="1" applyBorder="1" applyAlignment="1">
      <alignment vertical="center" wrapText="1"/>
    </xf>
    <xf numFmtId="0" fontId="1" fillId="0" borderId="12" xfId="0" applyFont="1" applyBorder="1" applyAlignment="1">
      <alignment horizontal="center" vertical="center" wrapText="1"/>
    </xf>
    <xf numFmtId="4" fontId="1" fillId="0" borderId="12" xfId="0" applyNumberFormat="1" applyFont="1" applyBorder="1" applyAlignment="1">
      <alignment horizontal="left" vertical="center"/>
    </xf>
    <xf numFmtId="0" fontId="1" fillId="0" borderId="12" xfId="0" applyFont="1" applyBorder="1" applyAlignment="1">
      <alignment horizontal="justify" vertical="center" wrapText="1"/>
    </xf>
    <xf numFmtId="0" fontId="29" fillId="0" borderId="0" xfId="0" applyFont="1" applyAlignment="1">
      <alignment/>
    </xf>
    <xf numFmtId="0" fontId="1" fillId="35" borderId="12" xfId="0" applyNumberFormat="1" applyFont="1" applyFill="1" applyBorder="1" applyAlignment="1">
      <alignment horizontal="left" vertical="center" wrapText="1"/>
    </xf>
    <xf numFmtId="4" fontId="13" fillId="0" borderId="0" xfId="0" applyNumberFormat="1" applyFont="1" applyFill="1" applyAlignment="1">
      <alignment/>
    </xf>
    <xf numFmtId="0" fontId="99" fillId="0" borderId="12" xfId="0" applyFont="1" applyBorder="1" applyAlignment="1">
      <alignment horizontal="left" vertical="center" wrapText="1"/>
    </xf>
    <xf numFmtId="4" fontId="100" fillId="0" borderId="12" xfId="72" applyNumberFormat="1" applyFont="1" applyFill="1" applyBorder="1" applyAlignment="1">
      <alignment horizontal="center" vertical="center"/>
    </xf>
    <xf numFmtId="0" fontId="101" fillId="0" borderId="22" xfId="0" applyNumberFormat="1" applyFont="1" applyFill="1" applyBorder="1" applyAlignment="1">
      <alignment horizontal="left" vertical="center" wrapText="1"/>
    </xf>
    <xf numFmtId="0" fontId="1" fillId="35" borderId="12" xfId="0" applyNumberFormat="1" applyFont="1" applyFill="1" applyBorder="1" applyAlignment="1">
      <alignment horizontal="left" vertical="center" wrapText="1"/>
    </xf>
    <xf numFmtId="180" fontId="9" fillId="0" borderId="12" xfId="0" applyNumberFormat="1" applyFont="1" applyFill="1" applyBorder="1" applyAlignment="1">
      <alignment horizontal="center" vertical="center"/>
    </xf>
    <xf numFmtId="10" fontId="6" fillId="0" borderId="12" xfId="69" applyNumberFormat="1" applyFont="1" applyFill="1" applyBorder="1" applyAlignment="1">
      <alignment horizontal="center" vertical="center"/>
    </xf>
    <xf numFmtId="4" fontId="24" fillId="0" borderId="12" xfId="72"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0" fontId="1" fillId="0" borderId="12" xfId="0" applyNumberFormat="1" applyFont="1" applyFill="1" applyBorder="1" applyAlignment="1">
      <alignment vertical="center" wrapText="1"/>
    </xf>
    <xf numFmtId="0" fontId="101" fillId="0" borderId="12" xfId="0" applyFont="1" applyFill="1" applyBorder="1" applyAlignment="1">
      <alignment horizontal="left" vertical="center" wrapText="1"/>
    </xf>
    <xf numFmtId="0" fontId="1" fillId="7" borderId="12" xfId="0" applyNumberFormat="1" applyFont="1" applyFill="1" applyBorder="1" applyAlignment="1">
      <alignment horizontal="left" vertical="center" wrapText="1"/>
    </xf>
    <xf numFmtId="0" fontId="98" fillId="0" borderId="29" xfId="0" applyFont="1" applyFill="1" applyBorder="1" applyAlignment="1">
      <alignment vertical="center" wrapText="1"/>
    </xf>
    <xf numFmtId="0" fontId="1" fillId="0" borderId="12" xfId="0" applyFont="1" applyFill="1" applyBorder="1" applyAlignment="1">
      <alignment vertical="center" wrapText="1"/>
    </xf>
    <xf numFmtId="180" fontId="12" fillId="37" borderId="12" xfId="0" applyNumberFormat="1" applyFont="1" applyFill="1" applyBorder="1" applyAlignment="1">
      <alignment horizontal="center" vertical="center"/>
    </xf>
    <xf numFmtId="0" fontId="24" fillId="37" borderId="12" xfId="0" applyFont="1" applyFill="1" applyBorder="1" applyAlignment="1">
      <alignment horizontal="left" vertical="center" wrapText="1"/>
    </xf>
    <xf numFmtId="4" fontId="6" fillId="0" borderId="12" xfId="74" applyNumberFormat="1" applyFont="1" applyFill="1" applyBorder="1" applyAlignment="1" applyProtection="1">
      <alignment horizontal="center" vertical="center" wrapText="1"/>
      <protection/>
    </xf>
    <xf numFmtId="10" fontId="29" fillId="0" borderId="12" xfId="0" applyNumberFormat="1" applyFont="1" applyFill="1" applyBorder="1" applyAlignment="1">
      <alignment horizontal="center" vertical="center" wrapText="1"/>
    </xf>
    <xf numFmtId="0" fontId="29" fillId="0" borderId="12" xfId="0" applyFont="1" applyFill="1" applyBorder="1" applyAlignment="1">
      <alignment horizontal="left" vertical="center" wrapText="1"/>
    </xf>
    <xf numFmtId="0" fontId="102" fillId="0" borderId="12" xfId="58" applyNumberFormat="1" applyFont="1" applyFill="1" applyBorder="1" applyAlignment="1" applyProtection="1">
      <alignment vertical="center" wrapText="1"/>
      <protection/>
    </xf>
    <xf numFmtId="0" fontId="102" fillId="0" borderId="12" xfId="0" applyFont="1" applyFill="1" applyBorder="1" applyAlignment="1">
      <alignment horizontal="center" vertical="center" wrapText="1"/>
    </xf>
    <xf numFmtId="180" fontId="103" fillId="0" borderId="12" xfId="0" applyNumberFormat="1" applyFont="1" applyFill="1" applyBorder="1" applyAlignment="1">
      <alignment horizontal="center" vertical="center" wrapText="1"/>
    </xf>
    <xf numFmtId="0" fontId="102" fillId="0" borderId="12" xfId="58" applyNumberFormat="1" applyFont="1" applyFill="1" applyBorder="1" applyAlignment="1" applyProtection="1">
      <alignment horizontal="left" vertical="center" wrapText="1"/>
      <protection/>
    </xf>
    <xf numFmtId="0" fontId="16" fillId="0" borderId="12" xfId="58" applyNumberFormat="1" applyFont="1" applyFill="1" applyBorder="1" applyAlignment="1" applyProtection="1">
      <alignment vertical="center" wrapText="1"/>
      <protection/>
    </xf>
    <xf numFmtId="0" fontId="16" fillId="0" borderId="12" xfId="0" applyFont="1" applyFill="1" applyBorder="1" applyAlignment="1">
      <alignment horizontal="center" vertical="center" wrapText="1"/>
    </xf>
    <xf numFmtId="0" fontId="98" fillId="35" borderId="11" xfId="0" applyFont="1" applyFill="1" applyBorder="1" applyAlignment="1">
      <alignment horizontal="left" vertical="center" wrapText="1"/>
    </xf>
    <xf numFmtId="0" fontId="1" fillId="0" borderId="0" xfId="0" applyFont="1" applyFill="1" applyAlignment="1">
      <alignment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horizontal="center" vertical="center" wrapText="1"/>
    </xf>
    <xf numFmtId="0" fontId="6" fillId="0" borderId="32" xfId="0" applyFont="1" applyBorder="1" applyAlignment="1">
      <alignment horizontal="center" vertical="center"/>
    </xf>
    <xf numFmtId="0" fontId="6" fillId="0" borderId="11" xfId="0" applyFont="1" applyBorder="1" applyAlignment="1">
      <alignment horizontal="center" vertical="center"/>
    </xf>
    <xf numFmtId="0" fontId="6" fillId="0" borderId="33" xfId="0" applyFont="1" applyBorder="1" applyAlignment="1">
      <alignment horizontal="center" vertical="center"/>
    </xf>
    <xf numFmtId="0" fontId="6" fillId="0" borderId="32" xfId="0" applyFont="1" applyBorder="1" applyAlignment="1">
      <alignment horizontal="center" vertical="center" wrapText="1"/>
    </xf>
    <xf numFmtId="0" fontId="35" fillId="0" borderId="0" xfId="0" applyFont="1" applyAlignment="1">
      <alignment horizontal="justify" wrapText="1"/>
    </xf>
    <xf numFmtId="0" fontId="29" fillId="0" borderId="0" xfId="0" applyFont="1" applyAlignment="1">
      <alignment horizontal="justify" wrapText="1"/>
    </xf>
    <xf numFmtId="0" fontId="30" fillId="0" borderId="0" xfId="0" applyFont="1" applyFill="1" applyAlignment="1">
      <alignment horizontal="left"/>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22" xfId="0" applyNumberFormat="1" applyFont="1" applyFill="1" applyBorder="1" applyAlignment="1">
      <alignment horizontal="left" vertical="center" wrapText="1"/>
    </xf>
    <xf numFmtId="0" fontId="1" fillId="0" borderId="14" xfId="0" applyNumberFormat="1" applyFont="1" applyFill="1" applyBorder="1" applyAlignment="1">
      <alignment horizontal="left" vertical="center" wrapText="1"/>
    </xf>
    <xf numFmtId="0" fontId="1" fillId="0" borderId="16" xfId="0" applyNumberFormat="1" applyFont="1" applyFill="1" applyBorder="1" applyAlignment="1">
      <alignment horizontal="left" vertical="center" wrapText="1"/>
    </xf>
    <xf numFmtId="0" fontId="89"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89" fillId="0" borderId="12" xfId="0" applyFont="1" applyFill="1" applyBorder="1" applyAlignment="1">
      <alignment horizontal="center" vertical="center" wrapText="1"/>
    </xf>
    <xf numFmtId="0" fontId="11" fillId="38" borderId="34" xfId="56" applyNumberFormat="1" applyFont="1" applyFill="1" applyBorder="1" applyAlignment="1">
      <alignment horizontal="center" vertical="center" wrapText="1"/>
      <protection/>
    </xf>
    <xf numFmtId="0" fontId="11" fillId="38" borderId="12" xfId="56" applyNumberFormat="1" applyFont="1" applyFill="1" applyBorder="1" applyAlignment="1">
      <alignment horizontal="center" vertical="center" wrapText="1"/>
      <protection/>
    </xf>
    <xf numFmtId="0" fontId="11" fillId="38" borderId="19" xfId="56" applyNumberFormat="1" applyFont="1" applyFill="1" applyBorder="1" applyAlignment="1">
      <alignment horizontal="center" vertical="center" wrapText="1"/>
      <protection/>
    </xf>
    <xf numFmtId="0" fontId="11" fillId="38" borderId="35" xfId="56" applyNumberFormat="1" applyFont="1" applyFill="1" applyBorder="1" applyAlignment="1">
      <alignment horizontal="center" vertical="center" wrapText="1"/>
      <protection/>
    </xf>
    <xf numFmtId="0" fontId="11" fillId="38" borderId="17" xfId="56" applyNumberFormat="1" applyFont="1" applyFill="1" applyBorder="1" applyAlignment="1">
      <alignment horizontal="center" vertical="center" wrapText="1"/>
      <protection/>
    </xf>
    <xf numFmtId="0" fontId="11" fillId="38" borderId="18" xfId="56" applyNumberFormat="1" applyFont="1" applyFill="1" applyBorder="1" applyAlignment="1">
      <alignment horizontal="center" vertical="center" wrapText="1"/>
      <protection/>
    </xf>
    <xf numFmtId="0" fontId="11" fillId="38" borderId="36" xfId="56" applyNumberFormat="1" applyFont="1" applyFill="1" applyBorder="1" applyAlignment="1">
      <alignment horizontal="center" vertical="center" wrapText="1"/>
      <protection/>
    </xf>
    <xf numFmtId="0" fontId="11" fillId="38" borderId="14" xfId="56" applyNumberFormat="1" applyFont="1" applyFill="1" applyBorder="1" applyAlignment="1">
      <alignment horizontal="center" vertical="center" wrapText="1"/>
      <protection/>
    </xf>
    <xf numFmtId="0" fontId="11" fillId="38" borderId="21" xfId="56" applyNumberFormat="1" applyFont="1" applyFill="1" applyBorder="1" applyAlignment="1">
      <alignment horizontal="center" vertical="center" wrapText="1"/>
      <protection/>
    </xf>
    <xf numFmtId="0" fontId="11" fillId="45" borderId="34" xfId="56" applyNumberFormat="1" applyFont="1" applyFill="1" applyBorder="1" applyAlignment="1">
      <alignment horizontal="center" vertical="center" wrapText="1"/>
      <protection/>
    </xf>
    <xf numFmtId="0" fontId="11" fillId="45" borderId="12" xfId="56" applyNumberFormat="1" applyFont="1" applyFill="1" applyBorder="1" applyAlignment="1">
      <alignment horizontal="center" vertical="center" wrapText="1"/>
      <protection/>
    </xf>
    <xf numFmtId="0" fontId="11" fillId="45" borderId="19" xfId="56" applyNumberFormat="1" applyFont="1" applyFill="1" applyBorder="1" applyAlignment="1">
      <alignment horizontal="center" vertical="center" wrapText="1"/>
      <protection/>
    </xf>
    <xf numFmtId="0" fontId="79" fillId="0" borderId="0" xfId="0" applyFont="1" applyAlignment="1">
      <alignment horizontal="center" wrapText="1"/>
    </xf>
    <xf numFmtId="0" fontId="11" fillId="45" borderId="36" xfId="56" applyNumberFormat="1" applyFont="1" applyFill="1" applyBorder="1" applyAlignment="1">
      <alignment horizontal="center" vertical="center" wrapText="1"/>
      <protection/>
    </xf>
    <xf numFmtId="0" fontId="11" fillId="45" borderId="14" xfId="56" applyNumberFormat="1" applyFont="1" applyFill="1" applyBorder="1" applyAlignment="1">
      <alignment horizontal="center" vertical="center" wrapText="1"/>
      <protection/>
    </xf>
    <xf numFmtId="0" fontId="11" fillId="45" borderId="21" xfId="56" applyNumberFormat="1" applyFont="1" applyFill="1" applyBorder="1" applyAlignment="1">
      <alignment horizontal="center" vertical="center" wrapText="1"/>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аголовокСтолбца" xfId="50"/>
    <cellStyle name="Итог" xfId="51"/>
    <cellStyle name="Контрольная ячейка" xfId="52"/>
    <cellStyle name="Название" xfId="53"/>
    <cellStyle name="Нейтральный" xfId="54"/>
    <cellStyle name="Обычный 10 4" xfId="55"/>
    <cellStyle name="Обычный 186" xfId="56"/>
    <cellStyle name="Обычный 186 2" xfId="57"/>
    <cellStyle name="Обычный 2" xfId="58"/>
    <cellStyle name="Обычный 2 10 2 7" xfId="59"/>
    <cellStyle name="Обычный 2 2" xfId="60"/>
    <cellStyle name="Обычный 2 2 20" xfId="61"/>
    <cellStyle name="Обычный 2 26 2" xfId="62"/>
    <cellStyle name="Обычный 2 48" xfId="63"/>
    <cellStyle name="Обычный 2_Формат_ЕИАС_с_формулами_дополненный"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10" xfId="74"/>
    <cellStyle name="Финансовый 2" xfId="75"/>
    <cellStyle name="Формула" xfId="76"/>
    <cellStyle name="Хороший"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91"/>
  <sheetViews>
    <sheetView tabSelected="1" view="pageBreakPreview" zoomScaleSheetLayoutView="100" zoomScalePageLayoutView="0" workbookViewId="0" topLeftCell="A9">
      <pane xSplit="2" ySplit="7" topLeftCell="C70" activePane="bottomRight" state="frozen"/>
      <selection pane="topLeft" activeCell="F44" sqref="F44:F50"/>
      <selection pane="topRight" activeCell="F44" sqref="F44:F50"/>
      <selection pane="bottomLeft" activeCell="F44" sqref="F44:F50"/>
      <selection pane="bottomRight" activeCell="J25" sqref="J25"/>
    </sheetView>
  </sheetViews>
  <sheetFormatPr defaultColWidth="17.00390625" defaultRowHeight="15" customHeight="1"/>
  <cols>
    <col min="1" max="1" width="8.375" style="2" customWidth="1"/>
    <col min="2" max="2" width="68.00390625" style="2" customWidth="1"/>
    <col min="3" max="3" width="8.875" style="2" customWidth="1"/>
    <col min="4" max="5" width="14.75390625" style="2" customWidth="1"/>
    <col min="6" max="6" width="60.75390625" style="2" customWidth="1"/>
    <col min="7" max="16384" width="17.00390625" style="2" customWidth="1"/>
  </cols>
  <sheetData>
    <row r="1" s="1" customFormat="1" ht="12" customHeight="1">
      <c r="D1" s="1" t="s">
        <v>76</v>
      </c>
    </row>
    <row r="2" s="1" customFormat="1" ht="12" customHeight="1">
      <c r="D2" s="1" t="s">
        <v>25</v>
      </c>
    </row>
    <row r="3" s="1" customFormat="1" ht="12" customHeight="1">
      <c r="D3" s="1" t="s">
        <v>26</v>
      </c>
    </row>
    <row r="4" spans="2:6" s="3" customFormat="1" ht="14.25" customHeight="1">
      <c r="B4" s="7" t="s">
        <v>16</v>
      </c>
      <c r="C4" s="6"/>
      <c r="D4" s="6"/>
      <c r="E4" s="6"/>
      <c r="F4" s="6"/>
    </row>
    <row r="5" spans="2:6" s="3" customFormat="1" ht="14.25" customHeight="1">
      <c r="B5" s="7" t="s">
        <v>17</v>
      </c>
      <c r="C5" s="6"/>
      <c r="D5" s="6"/>
      <c r="E5" s="6"/>
      <c r="F5" s="6"/>
    </row>
    <row r="6" spans="2:6" s="3" customFormat="1" ht="14.25" customHeight="1">
      <c r="B6" s="7" t="s">
        <v>77</v>
      </c>
      <c r="C6" s="6"/>
      <c r="D6" s="6"/>
      <c r="E6" s="6"/>
      <c r="F6" s="6"/>
    </row>
    <row r="7" spans="2:6" s="3" customFormat="1" ht="14.25" customHeight="1">
      <c r="B7" s="7" t="s">
        <v>99</v>
      </c>
      <c r="C7" s="6"/>
      <c r="D7" s="6"/>
      <c r="E7" s="6"/>
      <c r="F7" s="6"/>
    </row>
    <row r="8" spans="4:6" ht="21" customHeight="1">
      <c r="D8" s="24"/>
      <c r="E8" s="24"/>
      <c r="F8" s="24"/>
    </row>
    <row r="9" spans="1:6" ht="15.75">
      <c r="A9" s="12" t="s">
        <v>912</v>
      </c>
      <c r="D9" s="24"/>
      <c r="F9" s="24"/>
    </row>
    <row r="10" spans="1:6" ht="15.75">
      <c r="A10" s="12" t="s">
        <v>101</v>
      </c>
      <c r="D10" s="24"/>
      <c r="E10" s="24"/>
      <c r="F10" s="24"/>
    </row>
    <row r="11" spans="1:6" ht="15.75">
      <c r="A11" s="12" t="s">
        <v>102</v>
      </c>
      <c r="D11" s="56"/>
      <c r="E11" s="56"/>
      <c r="F11" s="54"/>
    </row>
    <row r="12" spans="1:6" ht="15.75">
      <c r="A12" s="12" t="s">
        <v>1026</v>
      </c>
      <c r="D12" s="55"/>
      <c r="E12" s="56"/>
      <c r="F12" s="133"/>
    </row>
    <row r="13" spans="1:6" s="5" customFormat="1" ht="13.5">
      <c r="A13" s="228" t="s">
        <v>24</v>
      </c>
      <c r="B13" s="226"/>
      <c r="C13" s="228" t="s">
        <v>27</v>
      </c>
      <c r="D13" s="230">
        <v>2023</v>
      </c>
      <c r="E13" s="231"/>
      <c r="F13" s="228" t="s">
        <v>1</v>
      </c>
    </row>
    <row r="14" spans="1:6" s="5" customFormat="1" ht="16.5">
      <c r="A14" s="229"/>
      <c r="B14" s="227"/>
      <c r="C14" s="229"/>
      <c r="D14" s="4" t="s">
        <v>0</v>
      </c>
      <c r="E14" s="132" t="s">
        <v>794</v>
      </c>
      <c r="F14" s="232"/>
    </row>
    <row r="15" spans="1:6" s="5" customFormat="1" ht="15" customHeight="1">
      <c r="A15" s="8" t="s">
        <v>2</v>
      </c>
      <c r="B15" s="9" t="s">
        <v>28</v>
      </c>
      <c r="C15" s="10" t="s">
        <v>29</v>
      </c>
      <c r="D15" s="10" t="s">
        <v>29</v>
      </c>
      <c r="E15" s="10" t="s">
        <v>29</v>
      </c>
      <c r="F15" s="11" t="s">
        <v>29</v>
      </c>
    </row>
    <row r="16" spans="1:6" s="5" customFormat="1" ht="43.5" customHeight="1">
      <c r="A16" s="129" t="s">
        <v>4</v>
      </c>
      <c r="B16" s="14" t="s">
        <v>78</v>
      </c>
      <c r="C16" s="15" t="s">
        <v>3</v>
      </c>
      <c r="D16" s="190">
        <v>2535815.5411268757</v>
      </c>
      <c r="E16" s="204">
        <v>2437854.53938</v>
      </c>
      <c r="F16" s="191" t="s">
        <v>1050</v>
      </c>
    </row>
    <row r="17" spans="1:6" s="13" customFormat="1" ht="15.75" customHeight="1">
      <c r="A17" s="129" t="s">
        <v>5</v>
      </c>
      <c r="B17" s="14" t="s">
        <v>79</v>
      </c>
      <c r="C17" s="15" t="s">
        <v>3</v>
      </c>
      <c r="D17" s="17">
        <v>1221346.1592693</v>
      </c>
      <c r="E17" s="17">
        <v>1104365.1833000001</v>
      </c>
      <c r="F17" s="192"/>
    </row>
    <row r="18" spans="1:6" s="5" customFormat="1" ht="13.5">
      <c r="A18" s="128" t="s">
        <v>6</v>
      </c>
      <c r="B18" s="9" t="s">
        <v>7</v>
      </c>
      <c r="C18" s="10" t="s">
        <v>3</v>
      </c>
      <c r="D18" s="26">
        <v>230574.5992693</v>
      </c>
      <c r="E18" s="26">
        <v>159523.75944999998</v>
      </c>
      <c r="F18" s="193"/>
    </row>
    <row r="19" spans="1:6" s="5" customFormat="1" ht="63.75">
      <c r="A19" s="128" t="s">
        <v>9</v>
      </c>
      <c r="B19" s="9" t="s">
        <v>100</v>
      </c>
      <c r="C19" s="10" t="s">
        <v>3</v>
      </c>
      <c r="D19" s="26">
        <v>214546.87</v>
      </c>
      <c r="E19" s="26">
        <v>145214.13947</v>
      </c>
      <c r="F19" s="211" t="s">
        <v>1024</v>
      </c>
    </row>
    <row r="20" spans="1:6" s="5" customFormat="1" ht="13.5">
      <c r="A20" s="128" t="s">
        <v>913</v>
      </c>
      <c r="B20" s="9" t="s">
        <v>80</v>
      </c>
      <c r="C20" s="10" t="s">
        <v>3</v>
      </c>
      <c r="D20" s="26">
        <v>95713.53880696907</v>
      </c>
      <c r="E20" s="26">
        <v>81819.39957</v>
      </c>
      <c r="F20" s="211" t="s">
        <v>1028</v>
      </c>
    </row>
    <row r="21" spans="1:6" s="5" customFormat="1" ht="40.5">
      <c r="A21" s="128" t="s">
        <v>11</v>
      </c>
      <c r="B21" s="9" t="s">
        <v>30</v>
      </c>
      <c r="C21" s="10" t="s">
        <v>3</v>
      </c>
      <c r="D21" s="26">
        <v>16027.729269300002</v>
      </c>
      <c r="E21" s="26">
        <v>14309.61998</v>
      </c>
      <c r="F21" s="212" t="s">
        <v>1027</v>
      </c>
    </row>
    <row r="22" spans="1:6" s="5" customFormat="1" ht="25.5">
      <c r="A22" s="128" t="s">
        <v>914</v>
      </c>
      <c r="B22" s="9" t="s">
        <v>10</v>
      </c>
      <c r="C22" s="10" t="s">
        <v>3</v>
      </c>
      <c r="D22" s="26">
        <v>11172.573418146156</v>
      </c>
      <c r="E22" s="26">
        <v>10570.16964</v>
      </c>
      <c r="F22" s="212" t="s">
        <v>1029</v>
      </c>
    </row>
    <row r="23" spans="1:6" s="5" customFormat="1" ht="51">
      <c r="A23" s="128" t="s">
        <v>8</v>
      </c>
      <c r="B23" s="9" t="s">
        <v>18</v>
      </c>
      <c r="C23" s="10" t="s">
        <v>3</v>
      </c>
      <c r="D23" s="26">
        <v>768997.52</v>
      </c>
      <c r="E23" s="26">
        <v>700620.12222</v>
      </c>
      <c r="F23" s="224" t="s">
        <v>1036</v>
      </c>
    </row>
    <row r="24" spans="1:6" s="5" customFormat="1" ht="65.25" customHeight="1">
      <c r="A24" s="128" t="s">
        <v>31</v>
      </c>
      <c r="B24" s="9" t="s">
        <v>10</v>
      </c>
      <c r="C24" s="10" t="s">
        <v>3</v>
      </c>
      <c r="D24" s="26">
        <v>55110.79085998835</v>
      </c>
      <c r="E24" s="26">
        <v>80122.50237</v>
      </c>
      <c r="F24" s="212" t="s">
        <v>1011</v>
      </c>
    </row>
    <row r="25" spans="1:6" s="5" customFormat="1" ht="13.5">
      <c r="A25" s="128" t="s">
        <v>12</v>
      </c>
      <c r="B25" s="9" t="s">
        <v>81</v>
      </c>
      <c r="C25" s="10" t="s">
        <v>3</v>
      </c>
      <c r="D25" s="26">
        <v>221774.04000000004</v>
      </c>
      <c r="E25" s="26">
        <v>244221.30163000012</v>
      </c>
      <c r="F25" s="191"/>
    </row>
    <row r="26" spans="1:6" s="5" customFormat="1" ht="40.5" customHeight="1">
      <c r="A26" s="128" t="s">
        <v>32</v>
      </c>
      <c r="B26" s="9" t="s">
        <v>82</v>
      </c>
      <c r="C26" s="10" t="s">
        <v>3</v>
      </c>
      <c r="D26" s="26">
        <v>26058.01</v>
      </c>
      <c r="E26" s="26">
        <v>37237.8026</v>
      </c>
      <c r="F26" s="191" t="s">
        <v>1032</v>
      </c>
    </row>
    <row r="27" spans="1:6" s="5" customFormat="1" ht="15" customHeight="1">
      <c r="A27" s="128" t="s">
        <v>34</v>
      </c>
      <c r="B27" s="9" t="s">
        <v>33</v>
      </c>
      <c r="C27" s="10" t="s">
        <v>3</v>
      </c>
      <c r="D27" s="26"/>
      <c r="E27" s="26"/>
      <c r="F27" s="20"/>
    </row>
    <row r="28" spans="1:6" s="5" customFormat="1" ht="13.5">
      <c r="A28" s="128" t="s">
        <v>83</v>
      </c>
      <c r="B28" s="9" t="s">
        <v>35</v>
      </c>
      <c r="C28" s="10" t="s">
        <v>3</v>
      </c>
      <c r="D28" s="26">
        <v>195716.03000000003</v>
      </c>
      <c r="E28" s="26">
        <v>206983.49903000012</v>
      </c>
      <c r="F28" s="20" t="s">
        <v>973</v>
      </c>
    </row>
    <row r="29" spans="1:6" s="5" customFormat="1" ht="27">
      <c r="A29" s="128" t="s">
        <v>84</v>
      </c>
      <c r="B29" s="9" t="s">
        <v>85</v>
      </c>
      <c r="C29" s="10" t="s">
        <v>3</v>
      </c>
      <c r="D29" s="26">
        <v>0</v>
      </c>
      <c r="E29" s="26">
        <v>0</v>
      </c>
      <c r="F29" s="20"/>
    </row>
    <row r="30" spans="1:6" s="5" customFormat="1" ht="16.5" customHeight="1">
      <c r="A30" s="128" t="s">
        <v>86</v>
      </c>
      <c r="B30" s="9" t="s">
        <v>87</v>
      </c>
      <c r="C30" s="10" t="s">
        <v>3</v>
      </c>
      <c r="D30" s="19"/>
      <c r="E30" s="19"/>
      <c r="F30" s="20"/>
    </row>
    <row r="31" spans="1:6" s="13" customFormat="1" ht="13.5">
      <c r="A31" s="129" t="s">
        <v>36</v>
      </c>
      <c r="B31" s="14" t="s">
        <v>37</v>
      </c>
      <c r="C31" s="15" t="s">
        <v>3</v>
      </c>
      <c r="D31" s="18">
        <v>966592.0348697156</v>
      </c>
      <c r="E31" s="18">
        <v>774601.3613239331</v>
      </c>
      <c r="F31" s="192"/>
    </row>
    <row r="32" spans="1:6" s="5" customFormat="1" ht="89.25">
      <c r="A32" s="128" t="s">
        <v>38</v>
      </c>
      <c r="B32" s="9" t="s">
        <v>39</v>
      </c>
      <c r="C32" s="10" t="s">
        <v>3</v>
      </c>
      <c r="D32" s="26">
        <v>310385.9556615748</v>
      </c>
      <c r="E32" s="26">
        <v>282910.59049000003</v>
      </c>
      <c r="F32" s="191" t="s">
        <v>1033</v>
      </c>
    </row>
    <row r="33" spans="1:6" s="5" customFormat="1" ht="27">
      <c r="A33" s="128" t="s">
        <v>40</v>
      </c>
      <c r="B33" s="9" t="s">
        <v>41</v>
      </c>
      <c r="C33" s="10" t="s">
        <v>3</v>
      </c>
      <c r="D33" s="26">
        <v>0</v>
      </c>
      <c r="E33" s="26">
        <v>0</v>
      </c>
      <c r="F33" s="20"/>
    </row>
    <row r="34" spans="1:6" s="5" customFormat="1" ht="127.5">
      <c r="A34" s="128" t="s">
        <v>42</v>
      </c>
      <c r="B34" s="9" t="s">
        <v>43</v>
      </c>
      <c r="C34" s="10" t="s">
        <v>3</v>
      </c>
      <c r="D34" s="26">
        <v>3558.89</v>
      </c>
      <c r="E34" s="26">
        <v>2617.7793400000005</v>
      </c>
      <c r="F34" s="225" t="s">
        <v>1043</v>
      </c>
    </row>
    <row r="35" spans="1:6" s="5" customFormat="1" ht="25.5">
      <c r="A35" s="128" t="s">
        <v>44</v>
      </c>
      <c r="B35" s="9" t="s">
        <v>19</v>
      </c>
      <c r="C35" s="10" t="s">
        <v>3</v>
      </c>
      <c r="D35" s="26">
        <v>233775.24608</v>
      </c>
      <c r="E35" s="26">
        <v>211074.40209</v>
      </c>
      <c r="F35" s="191" t="s">
        <v>1037</v>
      </c>
    </row>
    <row r="36" spans="1:6" s="5" customFormat="1" ht="27">
      <c r="A36" s="128" t="s">
        <v>45</v>
      </c>
      <c r="B36" s="9" t="s">
        <v>88</v>
      </c>
      <c r="C36" s="10" t="s">
        <v>3</v>
      </c>
      <c r="D36" s="26">
        <v>0</v>
      </c>
      <c r="E36" s="26">
        <v>0</v>
      </c>
      <c r="F36" s="191"/>
    </row>
    <row r="37" spans="1:6" s="5" customFormat="1" ht="76.5">
      <c r="A37" s="128" t="s">
        <v>46</v>
      </c>
      <c r="B37" s="9" t="s">
        <v>89</v>
      </c>
      <c r="C37" s="10" t="s">
        <v>3</v>
      </c>
      <c r="D37" s="26">
        <v>364737.09</v>
      </c>
      <c r="E37" s="26">
        <v>129066.39018000013</v>
      </c>
      <c r="F37" s="191" t="s">
        <v>1044</v>
      </c>
    </row>
    <row r="38" spans="1:6" s="5" customFormat="1" ht="13.5">
      <c r="A38" s="128" t="s">
        <v>47</v>
      </c>
      <c r="B38" s="9" t="s">
        <v>90</v>
      </c>
      <c r="C38" s="10" t="s">
        <v>3</v>
      </c>
      <c r="D38" s="26">
        <v>0</v>
      </c>
      <c r="E38" s="26">
        <v>0</v>
      </c>
      <c r="F38" s="20"/>
    </row>
    <row r="39" spans="1:6" s="5" customFormat="1" ht="76.5">
      <c r="A39" s="128" t="s">
        <v>51</v>
      </c>
      <c r="B39" s="9" t="s">
        <v>20</v>
      </c>
      <c r="C39" s="10" t="s">
        <v>3</v>
      </c>
      <c r="D39" s="26">
        <v>314.04649957428177</v>
      </c>
      <c r="E39" s="26">
        <v>6710.413006631561</v>
      </c>
      <c r="F39" s="191" t="s">
        <v>1007</v>
      </c>
    </row>
    <row r="40" spans="1:6" s="5" customFormat="1" ht="51">
      <c r="A40" s="128" t="s">
        <v>91</v>
      </c>
      <c r="B40" s="9" t="s">
        <v>21</v>
      </c>
      <c r="C40" s="10" t="s">
        <v>3</v>
      </c>
      <c r="D40" s="26">
        <v>30975.309999999998</v>
      </c>
      <c r="E40" s="26">
        <v>12552.41222</v>
      </c>
      <c r="F40" s="191" t="s">
        <v>1045</v>
      </c>
    </row>
    <row r="41" spans="1:6" s="5" customFormat="1" ht="114.75">
      <c r="A41" s="128" t="s">
        <v>92</v>
      </c>
      <c r="B41" s="9" t="s">
        <v>48</v>
      </c>
      <c r="C41" s="10" t="s">
        <v>3</v>
      </c>
      <c r="D41" s="26">
        <v>19869.02</v>
      </c>
      <c r="E41" s="26">
        <v>80540.44928730124</v>
      </c>
      <c r="F41" s="191" t="s">
        <v>1049</v>
      </c>
    </row>
    <row r="42" spans="1:6" s="5" customFormat="1" ht="13.5">
      <c r="A42" s="128" t="s">
        <v>93</v>
      </c>
      <c r="B42" s="9" t="s">
        <v>49</v>
      </c>
      <c r="C42" s="10" t="s">
        <v>50</v>
      </c>
      <c r="D42" s="26">
        <v>446</v>
      </c>
      <c r="E42" s="26">
        <v>542</v>
      </c>
      <c r="F42" s="209"/>
    </row>
    <row r="43" spans="1:6" s="5" customFormat="1" ht="63.75" customHeight="1">
      <c r="A43" s="128" t="s">
        <v>94</v>
      </c>
      <c r="B43" s="196" t="s">
        <v>52</v>
      </c>
      <c r="C43" s="10" t="s">
        <v>3</v>
      </c>
      <c r="D43" s="26">
        <v>0</v>
      </c>
      <c r="E43" s="25">
        <v>0</v>
      </c>
      <c r="F43" s="20"/>
    </row>
    <row r="44" spans="1:6" s="5" customFormat="1" ht="13.5">
      <c r="A44" s="128" t="s">
        <v>95</v>
      </c>
      <c r="B44" s="9" t="s">
        <v>96</v>
      </c>
      <c r="C44" s="10" t="s">
        <v>3</v>
      </c>
      <c r="D44" s="26">
        <v>2976.4766285664</v>
      </c>
      <c r="E44" s="26">
        <v>49128.92471000001</v>
      </c>
      <c r="F44" s="20" t="s">
        <v>916</v>
      </c>
    </row>
    <row r="45" spans="1:6" s="5" customFormat="1" ht="63.75">
      <c r="A45" s="128" t="s">
        <v>13</v>
      </c>
      <c r="B45" s="9" t="s">
        <v>22</v>
      </c>
      <c r="C45" s="10" t="s">
        <v>3</v>
      </c>
      <c r="D45" s="26">
        <v>347877.34698785964</v>
      </c>
      <c r="E45" s="26">
        <v>558887.9947560667</v>
      </c>
      <c r="F45" s="212" t="s">
        <v>1023</v>
      </c>
    </row>
    <row r="46" spans="1:6" s="59" customFormat="1" ht="25.5">
      <c r="A46" s="130" t="s">
        <v>826</v>
      </c>
      <c r="B46" s="57" t="s">
        <v>825</v>
      </c>
      <c r="C46" s="58" t="s">
        <v>3</v>
      </c>
      <c r="D46" s="213">
        <v>86801.76047603232</v>
      </c>
      <c r="E46" s="213">
        <v>-156922.8309500009</v>
      </c>
      <c r="F46" s="214" t="s">
        <v>1022</v>
      </c>
    </row>
    <row r="47" spans="1:6" s="59" customFormat="1" ht="63.75">
      <c r="A47" s="130"/>
      <c r="B47" s="57" t="s">
        <v>992</v>
      </c>
      <c r="C47" s="58" t="s">
        <v>3</v>
      </c>
      <c r="D47" s="213">
        <v>0</v>
      </c>
      <c r="E47" s="213">
        <v>-6710.413006631561</v>
      </c>
      <c r="F47" s="214" t="s">
        <v>1005</v>
      </c>
    </row>
    <row r="48" spans="1:6" s="59" customFormat="1" ht="38.25">
      <c r="A48" s="130" t="s">
        <v>827</v>
      </c>
      <c r="B48" s="57" t="s">
        <v>824</v>
      </c>
      <c r="C48" s="58" t="s">
        <v>3</v>
      </c>
      <c r="D48" s="213">
        <v>0</v>
      </c>
      <c r="E48" s="213">
        <v>-80540.44928730124</v>
      </c>
      <c r="F48" s="214" t="s">
        <v>831</v>
      </c>
    </row>
    <row r="49" spans="1:6" s="59" customFormat="1" ht="38.25">
      <c r="A49" s="130" t="s">
        <v>828</v>
      </c>
      <c r="B49" s="57" t="s">
        <v>988</v>
      </c>
      <c r="C49" s="58" t="s">
        <v>3</v>
      </c>
      <c r="D49" s="213">
        <v>0</v>
      </c>
      <c r="E49" s="213">
        <v>803061.68862</v>
      </c>
      <c r="F49" s="214" t="s">
        <v>1039</v>
      </c>
    </row>
    <row r="50" spans="1:6" s="5" customFormat="1" ht="27">
      <c r="A50" s="128" t="s">
        <v>14</v>
      </c>
      <c r="B50" s="9" t="s">
        <v>915</v>
      </c>
      <c r="C50" s="10" t="s">
        <v>3</v>
      </c>
      <c r="D50" s="25">
        <v>161996.90308510358</v>
      </c>
      <c r="E50" s="25">
        <v>172512.07158000002</v>
      </c>
      <c r="F50" s="200"/>
    </row>
    <row r="51" spans="1:6" s="5" customFormat="1" ht="76.5">
      <c r="A51" s="160" t="s">
        <v>15</v>
      </c>
      <c r="B51" s="161" t="s">
        <v>53</v>
      </c>
      <c r="C51" s="162" t="s">
        <v>3</v>
      </c>
      <c r="D51" s="190">
        <v>444378.24</v>
      </c>
      <c r="E51" s="190">
        <v>554109.41986</v>
      </c>
      <c r="F51" s="191" t="s">
        <v>999</v>
      </c>
    </row>
    <row r="52" spans="1:6" s="5" customFormat="1" ht="102">
      <c r="A52" s="128" t="s">
        <v>5</v>
      </c>
      <c r="B52" s="9" t="s">
        <v>97</v>
      </c>
      <c r="C52" s="60" t="s">
        <v>830</v>
      </c>
      <c r="D52" s="25">
        <v>128.4284</v>
      </c>
      <c r="E52" s="25">
        <v>209.700012</v>
      </c>
      <c r="F52" s="191" t="s">
        <v>991</v>
      </c>
    </row>
    <row r="53" spans="1:6" s="5" customFormat="1" ht="63.75">
      <c r="A53" s="128" t="s">
        <v>36</v>
      </c>
      <c r="B53" s="9" t="s">
        <v>98</v>
      </c>
      <c r="C53" s="10" t="s">
        <v>135</v>
      </c>
      <c r="D53" s="25">
        <v>3460.1243961615965</v>
      </c>
      <c r="E53" s="25">
        <v>2642.3909783085755</v>
      </c>
      <c r="F53" s="191" t="s">
        <v>1018</v>
      </c>
    </row>
    <row r="54" spans="1:6" s="5" customFormat="1" ht="40.5">
      <c r="A54" s="160" t="s">
        <v>23</v>
      </c>
      <c r="B54" s="161" t="s">
        <v>55</v>
      </c>
      <c r="C54" s="162" t="s">
        <v>29</v>
      </c>
      <c r="D54" s="124" t="s">
        <v>29</v>
      </c>
      <c r="E54" s="124" t="s">
        <v>29</v>
      </c>
      <c r="F54" s="194" t="s">
        <v>29</v>
      </c>
    </row>
    <row r="55" spans="1:6" s="5" customFormat="1" ht="13.5">
      <c r="A55" s="128" t="s">
        <v>4</v>
      </c>
      <c r="B55" s="9" t="s">
        <v>975</v>
      </c>
      <c r="C55" s="10" t="s">
        <v>56</v>
      </c>
      <c r="D55" s="25"/>
      <c r="E55" s="207">
        <v>82414</v>
      </c>
      <c r="F55" s="191"/>
    </row>
    <row r="56" spans="1:6" s="5" customFormat="1" ht="16.5">
      <c r="A56" s="128" t="s">
        <v>57</v>
      </c>
      <c r="B56" s="9" t="s">
        <v>58</v>
      </c>
      <c r="C56" s="10" t="s">
        <v>59</v>
      </c>
      <c r="D56" s="21" t="s">
        <v>29</v>
      </c>
      <c r="E56" s="190">
        <v>1662.54</v>
      </c>
      <c r="F56" s="195" t="s">
        <v>1019</v>
      </c>
    </row>
    <row r="57" spans="1:6" s="5" customFormat="1" ht="16.5">
      <c r="A57" s="128" t="s">
        <v>103</v>
      </c>
      <c r="B57" s="20" t="s">
        <v>104</v>
      </c>
      <c r="C57" s="10" t="s">
        <v>59</v>
      </c>
      <c r="D57" s="21" t="s">
        <v>29</v>
      </c>
      <c r="E57" s="25">
        <v>1039</v>
      </c>
      <c r="F57" s="191"/>
    </row>
    <row r="58" spans="1:6" s="5" customFormat="1" ht="25.5">
      <c r="A58" s="128" t="s">
        <v>105</v>
      </c>
      <c r="B58" s="20" t="s">
        <v>106</v>
      </c>
      <c r="C58" s="10" t="s">
        <v>59</v>
      </c>
      <c r="D58" s="21" t="s">
        <v>29</v>
      </c>
      <c r="E58" s="25">
        <v>200.5</v>
      </c>
      <c r="F58" s="191"/>
    </row>
    <row r="59" spans="1:6" s="5" customFormat="1" ht="25.5">
      <c r="A59" s="128" t="s">
        <v>107</v>
      </c>
      <c r="B59" s="20" t="s">
        <v>108</v>
      </c>
      <c r="C59" s="10" t="s">
        <v>59</v>
      </c>
      <c r="D59" s="21" t="s">
        <v>29</v>
      </c>
      <c r="E59" s="25">
        <v>423.04</v>
      </c>
      <c r="F59" s="191"/>
    </row>
    <row r="60" spans="1:6" s="5" customFormat="1" ht="16.5">
      <c r="A60" s="128" t="s">
        <v>109</v>
      </c>
      <c r="B60" s="20" t="s">
        <v>110</v>
      </c>
      <c r="C60" s="10" t="s">
        <v>59</v>
      </c>
      <c r="D60" s="21" t="s">
        <v>29</v>
      </c>
      <c r="E60" s="26">
        <v>0</v>
      </c>
      <c r="F60" s="191"/>
    </row>
    <row r="61" spans="1:6" s="5" customFormat="1" ht="13.5">
      <c r="A61" s="128" t="s">
        <v>60</v>
      </c>
      <c r="B61" s="9" t="s">
        <v>61</v>
      </c>
      <c r="C61" s="10" t="s">
        <v>62</v>
      </c>
      <c r="D61" s="190">
        <v>26905.5906</v>
      </c>
      <c r="E61" s="190">
        <v>26947.182800000002</v>
      </c>
      <c r="F61" s="195" t="s">
        <v>1019</v>
      </c>
    </row>
    <row r="62" spans="1:6" s="5" customFormat="1" ht="25.5">
      <c r="A62" s="128" t="s">
        <v>111</v>
      </c>
      <c r="B62" s="20" t="s">
        <v>112</v>
      </c>
      <c r="C62" s="10" t="s">
        <v>62</v>
      </c>
      <c r="D62" s="25">
        <v>2956.7744</v>
      </c>
      <c r="E62" s="25">
        <v>2950.3085999999994</v>
      </c>
      <c r="F62" s="191"/>
    </row>
    <row r="63" spans="1:6" s="5" customFormat="1" ht="25.5">
      <c r="A63" s="128" t="s">
        <v>113</v>
      </c>
      <c r="B63" s="20" t="s">
        <v>114</v>
      </c>
      <c r="C63" s="10" t="s">
        <v>62</v>
      </c>
      <c r="D63" s="25">
        <v>2467.8842</v>
      </c>
      <c r="E63" s="25">
        <v>2440.132</v>
      </c>
      <c r="F63" s="191"/>
    </row>
    <row r="64" spans="1:6" s="5" customFormat="1" ht="25.5">
      <c r="A64" s="128" t="s">
        <v>115</v>
      </c>
      <c r="B64" s="20" t="s">
        <v>116</v>
      </c>
      <c r="C64" s="10" t="s">
        <v>62</v>
      </c>
      <c r="D64" s="25">
        <v>14910.399</v>
      </c>
      <c r="E64" s="25">
        <v>14976.383</v>
      </c>
      <c r="F64" s="191"/>
    </row>
    <row r="65" spans="1:6" s="5" customFormat="1" ht="25.5">
      <c r="A65" s="128" t="s">
        <v>117</v>
      </c>
      <c r="B65" s="20" t="s">
        <v>118</v>
      </c>
      <c r="C65" s="10" t="s">
        <v>62</v>
      </c>
      <c r="D65" s="25">
        <v>6570.532999999999</v>
      </c>
      <c r="E65" s="25">
        <v>6580.359200000001</v>
      </c>
      <c r="F65" s="191"/>
    </row>
    <row r="66" spans="1:6" s="5" customFormat="1" ht="13.5">
      <c r="A66" s="128" t="s">
        <v>63</v>
      </c>
      <c r="B66" s="9" t="s">
        <v>64</v>
      </c>
      <c r="C66" s="10" t="s">
        <v>62</v>
      </c>
      <c r="D66" s="190">
        <v>29849.1</v>
      </c>
      <c r="E66" s="190">
        <v>29718.5</v>
      </c>
      <c r="F66" s="195" t="s">
        <v>1019</v>
      </c>
    </row>
    <row r="67" spans="1:6" s="5" customFormat="1" ht="25.5">
      <c r="A67" s="128" t="s">
        <v>119</v>
      </c>
      <c r="B67" s="20" t="s">
        <v>120</v>
      </c>
      <c r="C67" s="10" t="s">
        <v>62</v>
      </c>
      <c r="D67" s="25">
        <v>7815.3</v>
      </c>
      <c r="E67" s="25">
        <v>7807.5</v>
      </c>
      <c r="F67" s="191"/>
    </row>
    <row r="68" spans="1:6" s="5" customFormat="1" ht="25.5">
      <c r="A68" s="128" t="s">
        <v>121</v>
      </c>
      <c r="B68" s="20" t="s">
        <v>122</v>
      </c>
      <c r="C68" s="10" t="s">
        <v>62</v>
      </c>
      <c r="D68" s="25">
        <v>6948.700000000001</v>
      </c>
      <c r="E68" s="25">
        <v>6907.300000000001</v>
      </c>
      <c r="F68" s="191"/>
    </row>
    <row r="69" spans="1:6" s="5" customFormat="1" ht="25.5">
      <c r="A69" s="128" t="s">
        <v>123</v>
      </c>
      <c r="B69" s="20" t="s">
        <v>124</v>
      </c>
      <c r="C69" s="10" t="s">
        <v>62</v>
      </c>
      <c r="D69" s="25">
        <v>15085.099999999999</v>
      </c>
      <c r="E69" s="25">
        <v>15003.699999999999</v>
      </c>
      <c r="F69" s="191"/>
    </row>
    <row r="70" spans="1:6" s="5" customFormat="1" ht="25.5">
      <c r="A70" s="128" t="s">
        <v>125</v>
      </c>
      <c r="B70" s="20" t="s">
        <v>126</v>
      </c>
      <c r="C70" s="10" t="s">
        <v>62</v>
      </c>
      <c r="D70" s="25">
        <v>0</v>
      </c>
      <c r="E70" s="25">
        <v>0</v>
      </c>
      <c r="F70" s="191"/>
    </row>
    <row r="71" spans="1:6" s="5" customFormat="1" ht="13.5">
      <c r="A71" s="128" t="s">
        <v>65</v>
      </c>
      <c r="B71" s="9" t="s">
        <v>66</v>
      </c>
      <c r="C71" s="10" t="s">
        <v>67</v>
      </c>
      <c r="D71" s="190">
        <v>20620.853000000003</v>
      </c>
      <c r="E71" s="190">
        <v>20672.894</v>
      </c>
      <c r="F71" s="195" t="s">
        <v>1019</v>
      </c>
    </row>
    <row r="72" spans="1:6" s="5" customFormat="1" ht="13.5">
      <c r="A72" s="128" t="s">
        <v>131</v>
      </c>
      <c r="B72" s="20" t="s">
        <v>127</v>
      </c>
      <c r="C72" s="10" t="s">
        <v>67</v>
      </c>
      <c r="D72" s="25">
        <v>2194.11</v>
      </c>
      <c r="E72" s="25">
        <v>2190.501</v>
      </c>
      <c r="F72" s="27"/>
    </row>
    <row r="73" spans="1:6" s="5" customFormat="1" ht="13.5">
      <c r="A73" s="128" t="s">
        <v>132</v>
      </c>
      <c r="B73" s="20" t="s">
        <v>128</v>
      </c>
      <c r="C73" s="10" t="s">
        <v>67</v>
      </c>
      <c r="D73" s="25">
        <v>1929.887</v>
      </c>
      <c r="E73" s="25">
        <v>2148.2780000000002</v>
      </c>
      <c r="F73" s="27"/>
    </row>
    <row r="74" spans="1:6" s="5" customFormat="1" ht="13.5">
      <c r="A74" s="128" t="s">
        <v>133</v>
      </c>
      <c r="B74" s="20" t="s">
        <v>129</v>
      </c>
      <c r="C74" s="10" t="s">
        <v>67</v>
      </c>
      <c r="D74" s="25">
        <v>12676.044</v>
      </c>
      <c r="E74" s="25">
        <v>12506.726999999999</v>
      </c>
      <c r="F74" s="27"/>
    </row>
    <row r="75" spans="1:6" s="5" customFormat="1" ht="13.5">
      <c r="A75" s="128" t="s">
        <v>134</v>
      </c>
      <c r="B75" s="20" t="s">
        <v>130</v>
      </c>
      <c r="C75" s="10" t="s">
        <v>67</v>
      </c>
      <c r="D75" s="25">
        <v>3820.812</v>
      </c>
      <c r="E75" s="25">
        <v>3827.388</v>
      </c>
      <c r="F75" s="27"/>
    </row>
    <row r="76" spans="1:6" s="5" customFormat="1" ht="13.5">
      <c r="A76" s="128" t="s">
        <v>68</v>
      </c>
      <c r="B76" s="9" t="s">
        <v>69</v>
      </c>
      <c r="C76" s="10" t="s">
        <v>54</v>
      </c>
      <c r="D76" s="205">
        <v>0.009749354209547005</v>
      </c>
      <c r="E76" s="205">
        <v>0.009807770503733052</v>
      </c>
      <c r="F76" s="127"/>
    </row>
    <row r="77" spans="1:6" s="5" customFormat="1" ht="27">
      <c r="A77" s="128" t="s">
        <v>70</v>
      </c>
      <c r="B77" s="9" t="s">
        <v>71</v>
      </c>
      <c r="C77" s="10" t="s">
        <v>3</v>
      </c>
      <c r="D77" s="25">
        <v>12636.518040000004</v>
      </c>
      <c r="E77" s="25">
        <v>13999.616260000003</v>
      </c>
      <c r="F77" s="186"/>
    </row>
    <row r="78" spans="1:6" s="5" customFormat="1" ht="13.5">
      <c r="A78" s="128" t="s">
        <v>72</v>
      </c>
      <c r="B78" s="9" t="s">
        <v>73</v>
      </c>
      <c r="C78" s="10" t="s">
        <v>3</v>
      </c>
      <c r="D78" s="215">
        <v>12636.518040000004</v>
      </c>
      <c r="E78" s="215">
        <v>13999.616260000003</v>
      </c>
      <c r="F78" s="186"/>
    </row>
    <row r="79" spans="1:6" s="5" customFormat="1" ht="36">
      <c r="A79" s="128" t="s">
        <v>74</v>
      </c>
      <c r="B79" s="9" t="s">
        <v>75</v>
      </c>
      <c r="C79" s="10" t="s">
        <v>54</v>
      </c>
      <c r="D79" s="216">
        <v>0.1692</v>
      </c>
      <c r="E79" s="25" t="s">
        <v>29</v>
      </c>
      <c r="F79" s="217" t="s">
        <v>1020</v>
      </c>
    </row>
    <row r="80" ht="3.75" customHeight="1">
      <c r="D80" s="16"/>
    </row>
    <row r="81" s="197" customFormat="1" ht="12">
      <c r="A81" s="197" t="s">
        <v>976</v>
      </c>
    </row>
    <row r="82" spans="1:6" s="197" customFormat="1" ht="25.5" customHeight="1">
      <c r="A82" s="233" t="s">
        <v>993</v>
      </c>
      <c r="B82" s="234"/>
      <c r="C82" s="234"/>
      <c r="D82" s="234"/>
      <c r="E82" s="234"/>
      <c r="F82" s="234"/>
    </row>
    <row r="83" spans="1:6" s="197" customFormat="1" ht="14.25" customHeight="1">
      <c r="A83" s="233" t="s">
        <v>994</v>
      </c>
      <c r="B83" s="234"/>
      <c r="C83" s="234"/>
      <c r="D83" s="234"/>
      <c r="E83" s="234"/>
      <c r="F83" s="234"/>
    </row>
    <row r="84" spans="1:6" s="197" customFormat="1" ht="14.25" customHeight="1">
      <c r="A84" s="233" t="s">
        <v>995</v>
      </c>
      <c r="B84" s="234"/>
      <c r="C84" s="234"/>
      <c r="D84" s="234"/>
      <c r="E84" s="234"/>
      <c r="F84" s="234"/>
    </row>
    <row r="85" spans="1:6" s="197" customFormat="1" ht="15.75" customHeight="1">
      <c r="A85" s="233" t="s">
        <v>996</v>
      </c>
      <c r="B85" s="234"/>
      <c r="C85" s="234"/>
      <c r="D85" s="234"/>
      <c r="E85" s="234"/>
      <c r="F85" s="234"/>
    </row>
    <row r="86" spans="1:6" s="197" customFormat="1" ht="14.25" customHeight="1">
      <c r="A86" s="233" t="s">
        <v>997</v>
      </c>
      <c r="B86" s="234"/>
      <c r="C86" s="234"/>
      <c r="D86" s="234"/>
      <c r="E86" s="234"/>
      <c r="F86" s="234"/>
    </row>
    <row r="87" spans="1:6" s="1" customFormat="1" ht="24.75" customHeight="1">
      <c r="A87" s="64"/>
      <c r="B87" s="65"/>
      <c r="C87" s="65"/>
      <c r="D87" s="65"/>
      <c r="E87" s="65"/>
      <c r="F87" s="65"/>
    </row>
    <row r="88" spans="2:6" ht="24.75" customHeight="1">
      <c r="B88" s="184" t="s">
        <v>980</v>
      </c>
      <c r="C88" s="184"/>
      <c r="D88" s="184"/>
      <c r="E88" s="184"/>
      <c r="F88" s="185" t="s">
        <v>998</v>
      </c>
    </row>
    <row r="90" spans="4:6" ht="15" customHeight="1">
      <c r="D90" s="1"/>
      <c r="E90" s="22"/>
      <c r="F90" s="22"/>
    </row>
    <row r="91" ht="15" customHeight="1">
      <c r="E91" s="24"/>
    </row>
  </sheetData>
  <sheetProtection/>
  <autoFilter ref="A15:F15"/>
  <mergeCells count="10">
    <mergeCell ref="B13:B14"/>
    <mergeCell ref="C13:C14"/>
    <mergeCell ref="D13:E13"/>
    <mergeCell ref="F13:F14"/>
    <mergeCell ref="A13:A14"/>
    <mergeCell ref="A86:F86"/>
    <mergeCell ref="A84:F84"/>
    <mergeCell ref="A85:F85"/>
    <mergeCell ref="A82:F82"/>
    <mergeCell ref="A83:F83"/>
  </mergeCells>
  <printOptions horizontalCentered="1"/>
  <pageMargins left="0.5905511811023623" right="0.11811023622047245" top="0.5905511811023623" bottom="0.3937007874015748" header="0.1968503937007874" footer="0.1968503937007874"/>
  <pageSetup blackAndWhite="1" fitToHeight="0" fitToWidth="1" horizontalDpi="600" verticalDpi="600" orientation="portrait" paperSize="9" scale="55"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0" max="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J55"/>
  <sheetViews>
    <sheetView view="pageBreakPreview" zoomScaleSheetLayoutView="100" zoomScalePageLayoutView="0" workbookViewId="0" topLeftCell="A27">
      <selection activeCell="B37" sqref="B37"/>
    </sheetView>
  </sheetViews>
  <sheetFormatPr defaultColWidth="0" defaultRowHeight="12.75"/>
  <cols>
    <col min="1" max="1" width="12.375" style="44" customWidth="1"/>
    <col min="2" max="2" width="56.125" style="44" customWidth="1"/>
    <col min="3" max="3" width="13.625" style="45" customWidth="1"/>
    <col min="4" max="4" width="14.125" style="0" customWidth="1"/>
    <col min="5" max="5" width="13.875" style="0" customWidth="1"/>
    <col min="6" max="6" width="71.875" style="0" customWidth="1"/>
    <col min="7" max="8" width="9.125" style="0" customWidth="1"/>
    <col min="9" max="9" width="13.625" style="0" customWidth="1"/>
    <col min="10" max="16" width="9.125" style="0" customWidth="1"/>
    <col min="17" max="17" width="26.125" style="0" customWidth="1"/>
    <col min="18" max="20" width="9.125" style="0" customWidth="1"/>
    <col min="21" max="21" width="33.375" style="0" customWidth="1"/>
    <col min="22" max="22" width="24.875" style="0" customWidth="1"/>
    <col min="23" max="23" width="9.125" style="0" customWidth="1"/>
    <col min="24" max="24" width="17.75390625" style="0" customWidth="1"/>
    <col min="25" max="53" width="9.125" style="0" customWidth="1"/>
    <col min="54" max="54" width="13.75390625" style="0" customWidth="1"/>
    <col min="55" max="56" width="12.75390625" style="0" customWidth="1"/>
    <col min="57" max="231" width="9.125" style="0" customWidth="1"/>
    <col min="232" max="232" width="11.875" style="0" customWidth="1"/>
    <col min="233" max="233" width="45.125" style="0" customWidth="1"/>
    <col min="234" max="234" width="13.625" style="0" customWidth="1"/>
    <col min="235" max="235" width="19.25390625" style="0" customWidth="1"/>
    <col min="236" max="236" width="18.875" style="0" customWidth="1"/>
    <col min="237" max="237" width="18.625" style="0" customWidth="1"/>
    <col min="238" max="238" width="15.125" style="0" customWidth="1"/>
    <col min="239" max="239" width="17.00390625" style="0" customWidth="1"/>
    <col min="240" max="240" width="19.75390625" style="0" customWidth="1"/>
    <col min="241" max="241" width="16.375" style="0" customWidth="1"/>
    <col min="242" max="242" width="4.125" style="0" customWidth="1"/>
    <col min="243" max="16384" width="0" style="0" hidden="1" customWidth="1"/>
  </cols>
  <sheetData>
    <row r="1" spans="4:5" ht="12.75">
      <c r="D1" s="23"/>
      <c r="E1" s="23"/>
    </row>
    <row r="2" spans="1:244" ht="20.25">
      <c r="A2" s="235" t="s">
        <v>765</v>
      </c>
      <c r="B2" s="235"/>
      <c r="C2" s="235"/>
      <c r="D2" s="125"/>
      <c r="E2" s="125"/>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row>
    <row r="3" spans="1:244" s="151" customFormat="1" ht="15.75">
      <c r="A3" s="236" t="s">
        <v>766</v>
      </c>
      <c r="B3" s="237" t="s">
        <v>767</v>
      </c>
      <c r="C3" s="238" t="s">
        <v>768</v>
      </c>
      <c r="D3" s="236" t="s">
        <v>1021</v>
      </c>
      <c r="E3" s="245"/>
      <c r="F3" s="239" t="s">
        <v>829</v>
      </c>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row>
    <row r="4" spans="1:244" s="151" customFormat="1" ht="15.75">
      <c r="A4" s="236"/>
      <c r="B4" s="237"/>
      <c r="C4" s="238"/>
      <c r="D4" s="236" t="s">
        <v>769</v>
      </c>
      <c r="E4" s="238" t="s">
        <v>794</v>
      </c>
      <c r="F4" s="240"/>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row>
    <row r="5" spans="1:244" s="151" customFormat="1" ht="15.75" customHeight="1" hidden="1">
      <c r="A5" s="236"/>
      <c r="B5" s="237"/>
      <c r="C5" s="238"/>
      <c r="D5" s="236"/>
      <c r="E5" s="238"/>
      <c r="F5" s="241"/>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row>
    <row r="6" spans="1:244" s="151" customFormat="1" ht="18.75">
      <c r="A6" s="135">
        <v>1</v>
      </c>
      <c r="B6" s="135">
        <v>2</v>
      </c>
      <c r="C6" s="134">
        <v>3</v>
      </c>
      <c r="D6" s="135">
        <f>C6+1</f>
        <v>4</v>
      </c>
      <c r="E6" s="135">
        <f>D6+1</f>
        <v>5</v>
      </c>
      <c r="F6" s="135">
        <v>6</v>
      </c>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row>
    <row r="7" spans="1:244" s="151" customFormat="1" ht="18.75">
      <c r="A7" s="134" t="s">
        <v>83</v>
      </c>
      <c r="B7" s="135" t="s">
        <v>770</v>
      </c>
      <c r="C7" s="134" t="s">
        <v>3</v>
      </c>
      <c r="D7" s="136">
        <v>195716.03000000003</v>
      </c>
      <c r="E7" s="136">
        <v>206983.49903000012</v>
      </c>
      <c r="F7" s="137"/>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row>
    <row r="8" spans="1:244" s="151" customFormat="1" ht="89.25">
      <c r="A8" s="138" t="s">
        <v>771</v>
      </c>
      <c r="B8" s="30" t="s">
        <v>772</v>
      </c>
      <c r="C8" s="31" t="s">
        <v>773</v>
      </c>
      <c r="D8" s="139">
        <v>8945.86</v>
      </c>
      <c r="E8" s="139">
        <v>5164.47126</v>
      </c>
      <c r="F8" s="203" t="s">
        <v>1008</v>
      </c>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row>
    <row r="9" spans="1:244" s="151" customFormat="1" ht="18.75" customHeight="1">
      <c r="A9" s="138" t="s">
        <v>774</v>
      </c>
      <c r="B9" s="30" t="s">
        <v>775</v>
      </c>
      <c r="C9" s="31" t="s">
        <v>773</v>
      </c>
      <c r="D9" s="139">
        <v>6537.3</v>
      </c>
      <c r="E9" s="139">
        <v>6117.61518</v>
      </c>
      <c r="F9" s="178" t="s">
        <v>919</v>
      </c>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154"/>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row>
    <row r="10" spans="1:244" s="151" customFormat="1" ht="18.75" customHeight="1">
      <c r="A10" s="138" t="s">
        <v>776</v>
      </c>
      <c r="B10" s="30" t="s">
        <v>777</v>
      </c>
      <c r="C10" s="31" t="s">
        <v>773</v>
      </c>
      <c r="D10" s="139">
        <v>16524.69</v>
      </c>
      <c r="E10" s="139">
        <v>14592.78013</v>
      </c>
      <c r="F10" s="178"/>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row>
    <row r="11" spans="1:244" s="151" customFormat="1" ht="38.25" customHeight="1">
      <c r="A11" s="138" t="s">
        <v>778</v>
      </c>
      <c r="B11" s="30" t="s">
        <v>779</v>
      </c>
      <c r="C11" s="31" t="s">
        <v>773</v>
      </c>
      <c r="D11" s="139">
        <v>2720.1900000000005</v>
      </c>
      <c r="E11" s="139">
        <v>3324.35703</v>
      </c>
      <c r="F11" s="178" t="s">
        <v>1034</v>
      </c>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row>
    <row r="12" spans="1:53" s="151" customFormat="1" ht="67.5" customHeight="1" hidden="1">
      <c r="A12" s="142" t="s">
        <v>780</v>
      </c>
      <c r="B12" s="221" t="s">
        <v>781</v>
      </c>
      <c r="C12" s="219" t="s">
        <v>773</v>
      </c>
      <c r="D12" s="220"/>
      <c r="E12" s="220"/>
      <c r="F12" s="140" t="s">
        <v>1030</v>
      </c>
      <c r="BA12" s="32"/>
    </row>
    <row r="13" spans="1:244" s="151" customFormat="1" ht="75" customHeight="1">
      <c r="A13" s="138" t="s">
        <v>780</v>
      </c>
      <c r="B13" s="30" t="s">
        <v>1040</v>
      </c>
      <c r="C13" s="31" t="s">
        <v>773</v>
      </c>
      <c r="D13" s="139">
        <v>10652.779999999999</v>
      </c>
      <c r="E13" s="139">
        <v>11193.3096</v>
      </c>
      <c r="F13" s="198" t="s">
        <v>1001</v>
      </c>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row>
    <row r="14" spans="1:244" s="151" customFormat="1" ht="40.5" customHeight="1">
      <c r="A14" s="138" t="s">
        <v>782</v>
      </c>
      <c r="B14" s="30" t="s">
        <v>978</v>
      </c>
      <c r="C14" s="31" t="s">
        <v>773</v>
      </c>
      <c r="D14" s="139">
        <v>4914.0199999999995</v>
      </c>
      <c r="E14" s="139">
        <v>6250.21625</v>
      </c>
      <c r="F14" s="140" t="s">
        <v>1004</v>
      </c>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row>
    <row r="15" spans="1:244" s="151" customFormat="1" ht="18.75">
      <c r="A15" s="138" t="s">
        <v>783</v>
      </c>
      <c r="B15" s="30" t="s">
        <v>786</v>
      </c>
      <c r="C15" s="31" t="s">
        <v>773</v>
      </c>
      <c r="D15" s="139">
        <v>8486.19</v>
      </c>
      <c r="E15" s="139">
        <v>14659.193790000001</v>
      </c>
      <c r="F15" s="179" t="s">
        <v>979</v>
      </c>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row>
    <row r="16" spans="1:244" s="151" customFormat="1" ht="25.5">
      <c r="A16" s="138" t="s">
        <v>784</v>
      </c>
      <c r="B16" s="30" t="s">
        <v>431</v>
      </c>
      <c r="C16" s="31" t="s">
        <v>773</v>
      </c>
      <c r="D16" s="139">
        <v>45757.26</v>
      </c>
      <c r="E16" s="139">
        <v>54063.769850000004</v>
      </c>
      <c r="F16" s="140" t="s">
        <v>1000</v>
      </c>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row>
    <row r="17" spans="1:244" s="151" customFormat="1" ht="18.75" hidden="1">
      <c r="A17" s="138" t="s">
        <v>785</v>
      </c>
      <c r="B17" s="218" t="s">
        <v>788</v>
      </c>
      <c r="C17" s="219" t="s">
        <v>773</v>
      </c>
      <c r="D17" s="220"/>
      <c r="E17" s="220"/>
      <c r="F17" s="141"/>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row>
    <row r="18" spans="1:244" s="151" customFormat="1" ht="38.25" customHeight="1" hidden="1">
      <c r="A18" s="138" t="s">
        <v>787</v>
      </c>
      <c r="B18" s="218" t="s">
        <v>793</v>
      </c>
      <c r="C18" s="219" t="s">
        <v>773</v>
      </c>
      <c r="D18" s="220"/>
      <c r="E18" s="220"/>
      <c r="F18" s="178" t="s">
        <v>974</v>
      </c>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row>
    <row r="19" spans="1:244" s="151" customFormat="1" ht="38.25" customHeight="1">
      <c r="A19" s="138" t="s">
        <v>785</v>
      </c>
      <c r="B19" s="30" t="s">
        <v>1025</v>
      </c>
      <c r="C19" s="31" t="s">
        <v>773</v>
      </c>
      <c r="D19" s="139">
        <v>205.01</v>
      </c>
      <c r="E19" s="139">
        <v>382.54746</v>
      </c>
      <c r="F19" s="203"/>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row>
    <row r="20" spans="1:244" s="151" customFormat="1" ht="59.25" customHeight="1">
      <c r="A20" s="138" t="s">
        <v>1041</v>
      </c>
      <c r="B20" s="222" t="s">
        <v>920</v>
      </c>
      <c r="C20" s="223" t="s">
        <v>773</v>
      </c>
      <c r="D20" s="139">
        <v>90972.73000000003</v>
      </c>
      <c r="E20" s="139">
        <v>91235.23848000012</v>
      </c>
      <c r="F20" s="203" t="s">
        <v>1042</v>
      </c>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156"/>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row>
    <row r="21" spans="1:244" s="63" customFormat="1" ht="15.75" hidden="1">
      <c r="A21" s="143"/>
      <c r="B21" s="61" t="s">
        <v>977</v>
      </c>
      <c r="C21" s="144" t="s">
        <v>773</v>
      </c>
      <c r="D21" s="145" t="e">
        <f>#REF!</f>
        <v>#REF!</v>
      </c>
      <c r="E21" s="145" t="e">
        <f>#REF!+#REF!</f>
        <v>#REF!</v>
      </c>
      <c r="F21" s="146" t="s">
        <v>1009</v>
      </c>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row>
    <row r="22" spans="1:244" s="63" customFormat="1" ht="15.75" hidden="1">
      <c r="A22" s="143" t="s">
        <v>835</v>
      </c>
      <c r="B22" s="61" t="s">
        <v>286</v>
      </c>
      <c r="C22" s="144" t="s">
        <v>773</v>
      </c>
      <c r="D22" s="145" t="e">
        <f>#REF!</f>
        <v>#REF!</v>
      </c>
      <c r="E22" s="145" t="e">
        <f>#REF!</f>
        <v>#REF!</v>
      </c>
      <c r="F22" s="146"/>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row>
    <row r="23" spans="1:244" s="63" customFormat="1" ht="18" customHeight="1" hidden="1">
      <c r="A23" s="143" t="s">
        <v>837</v>
      </c>
      <c r="B23" s="61" t="s">
        <v>427</v>
      </c>
      <c r="C23" s="144" t="s">
        <v>773</v>
      </c>
      <c r="D23" s="145" t="e">
        <f>#REF!</f>
        <v>#REF!</v>
      </c>
      <c r="E23" s="145" t="e">
        <f>#REF!</f>
        <v>#REF!</v>
      </c>
      <c r="F23" s="146"/>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row>
    <row r="24" spans="1:244" s="63" customFormat="1" ht="30" customHeight="1" hidden="1">
      <c r="A24" s="143" t="s">
        <v>836</v>
      </c>
      <c r="B24" s="61" t="s">
        <v>455</v>
      </c>
      <c r="C24" s="144" t="s">
        <v>773</v>
      </c>
      <c r="D24" s="145" t="e">
        <f>#REF!</f>
        <v>#REF!</v>
      </c>
      <c r="E24" s="145" t="e">
        <f>#REF!</f>
        <v>#REF!</v>
      </c>
      <c r="F24" s="146"/>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row>
    <row r="25" spans="1:244" s="63" customFormat="1" ht="15.75" hidden="1">
      <c r="A25" s="147" t="s">
        <v>910</v>
      </c>
      <c r="B25" s="61" t="s">
        <v>874</v>
      </c>
      <c r="C25" s="144" t="s">
        <v>773</v>
      </c>
      <c r="D25" s="145" t="e">
        <f>#REF!</f>
        <v>#REF!</v>
      </c>
      <c r="E25" s="145" t="e">
        <f>#REF!+#REF!</f>
        <v>#REF!</v>
      </c>
      <c r="F25" s="146"/>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row>
    <row r="26" spans="1:244" ht="18.75" hidden="1">
      <c r="A26" s="34"/>
      <c r="B26" s="34"/>
      <c r="C26" s="35"/>
      <c r="D26" s="46" t="e">
        <f>SUM(D21:D25)-D20</f>
        <v>#REF!</v>
      </c>
      <c r="E26" s="46" t="e">
        <f>SUM(E21:E25)-E20</f>
        <v>#REF!</v>
      </c>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row>
    <row r="27" spans="1:244" ht="51" customHeight="1">
      <c r="A27" s="235" t="s">
        <v>838</v>
      </c>
      <c r="B27" s="235"/>
      <c r="C27" s="235"/>
      <c r="D27" s="199"/>
      <c r="E27" s="131"/>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row>
    <row r="28" spans="1:244" ht="10.5" customHeight="1">
      <c r="A28" s="236" t="s">
        <v>766</v>
      </c>
      <c r="B28" s="237" t="s">
        <v>767</v>
      </c>
      <c r="C28" s="238" t="s">
        <v>768</v>
      </c>
      <c r="D28" s="246" t="str">
        <f>D3</f>
        <v>2023 год</v>
      </c>
      <c r="E28" s="247"/>
      <c r="F28" s="239" t="s">
        <v>829</v>
      </c>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row>
    <row r="29" spans="1:244" ht="9.75" customHeight="1">
      <c r="A29" s="236"/>
      <c r="B29" s="237"/>
      <c r="C29" s="238"/>
      <c r="D29" s="246" t="s">
        <v>769</v>
      </c>
      <c r="E29" s="237" t="s">
        <v>794</v>
      </c>
      <c r="F29" s="240"/>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row>
    <row r="30" spans="1:244" ht="11.25" customHeight="1">
      <c r="A30" s="236"/>
      <c r="B30" s="237"/>
      <c r="C30" s="238"/>
      <c r="D30" s="246"/>
      <c r="E30" s="237"/>
      <c r="F30" s="241"/>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row>
    <row r="31" spans="1:244" s="151" customFormat="1" ht="12" customHeight="1">
      <c r="A31" s="135">
        <v>1</v>
      </c>
      <c r="B31" s="135">
        <v>2</v>
      </c>
      <c r="C31" s="134">
        <v>3</v>
      </c>
      <c r="D31" s="134">
        <v>4</v>
      </c>
      <c r="E31" s="134">
        <v>5</v>
      </c>
      <c r="F31" s="134">
        <v>6</v>
      </c>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row>
    <row r="32" spans="1:244" s="151" customFormat="1" ht="36" customHeight="1">
      <c r="A32" s="148" t="str">
        <f>'стр.1_3'!A44</f>
        <v>1.2.12</v>
      </c>
      <c r="B32" s="149" t="str">
        <f>'стр.1_3'!B44</f>
        <v>прочие неподконтрольные расходы (с расшифровкой)</v>
      </c>
      <c r="C32" s="134" t="s">
        <v>3</v>
      </c>
      <c r="D32" s="159">
        <v>2976.4766285664</v>
      </c>
      <c r="E32" s="159">
        <v>49128.92471000001</v>
      </c>
      <c r="F32" s="140"/>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153"/>
      <c r="BC32" s="153"/>
      <c r="BD32" s="15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row>
    <row r="33" spans="1:244" s="151" customFormat="1" ht="54" customHeight="1">
      <c r="A33" s="135" t="s">
        <v>789</v>
      </c>
      <c r="B33" s="30" t="s">
        <v>136</v>
      </c>
      <c r="C33" s="31" t="s">
        <v>773</v>
      </c>
      <c r="D33" s="159">
        <v>137.22</v>
      </c>
      <c r="E33" s="159">
        <v>240.23170000000002</v>
      </c>
      <c r="F33" s="179" t="s">
        <v>1048</v>
      </c>
      <c r="G33" s="33"/>
      <c r="H33" s="33"/>
      <c r="I33" s="33"/>
      <c r="J33" s="33"/>
      <c r="K33" s="33"/>
      <c r="L33" s="33"/>
      <c r="M33" s="33"/>
      <c r="N33" s="33"/>
      <c r="O33" s="33"/>
      <c r="P33" s="33"/>
      <c r="Q33" s="33"/>
      <c r="R33" s="33"/>
      <c r="S33" s="33"/>
      <c r="T33" s="33"/>
      <c r="U33" s="152"/>
      <c r="V33" s="152"/>
      <c r="W33" s="33"/>
      <c r="X33" s="15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15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row>
    <row r="34" spans="1:244" s="151" customFormat="1" ht="66" customHeight="1">
      <c r="A34" s="135" t="s">
        <v>790</v>
      </c>
      <c r="B34" s="30" t="s">
        <v>989</v>
      </c>
      <c r="C34" s="31" t="s">
        <v>773</v>
      </c>
      <c r="D34" s="159">
        <v>0</v>
      </c>
      <c r="E34" s="159">
        <v>5151.47239</v>
      </c>
      <c r="F34" s="179" t="s">
        <v>1046</v>
      </c>
      <c r="G34" s="33"/>
      <c r="H34" s="33"/>
      <c r="I34" s="37"/>
      <c r="J34" s="38"/>
      <c r="K34" s="33"/>
      <c r="L34" s="33"/>
      <c r="M34" s="33"/>
      <c r="N34" s="33"/>
      <c r="O34" s="33"/>
      <c r="P34" s="33"/>
      <c r="Q34" s="37"/>
      <c r="R34" s="38"/>
      <c r="S34" s="33"/>
      <c r="T34" s="33"/>
      <c r="U34" s="39"/>
      <c r="V34" s="39"/>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15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row>
    <row r="35" spans="1:244" s="151" customFormat="1" ht="78.75" customHeight="1">
      <c r="A35" s="135" t="s">
        <v>791</v>
      </c>
      <c r="B35" s="222" t="s">
        <v>1038</v>
      </c>
      <c r="C35" s="223" t="s">
        <v>773</v>
      </c>
      <c r="D35" s="159">
        <v>0</v>
      </c>
      <c r="E35" s="159">
        <v>2152.58405</v>
      </c>
      <c r="F35" s="179" t="s">
        <v>1047</v>
      </c>
      <c r="G35" s="33"/>
      <c r="H35" s="33"/>
      <c r="I35" s="37"/>
      <c r="J35" s="38"/>
      <c r="K35" s="33"/>
      <c r="L35" s="33"/>
      <c r="M35" s="33"/>
      <c r="N35" s="33"/>
      <c r="O35" s="33"/>
      <c r="P35" s="33"/>
      <c r="Q35" s="37"/>
      <c r="R35" s="38"/>
      <c r="S35" s="33"/>
      <c r="T35" s="33"/>
      <c r="U35" s="39"/>
      <c r="V35" s="39"/>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15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row>
    <row r="36" spans="1:244" s="151" customFormat="1" ht="35.25" customHeight="1">
      <c r="A36" s="135" t="s">
        <v>792</v>
      </c>
      <c r="B36" s="30" t="s">
        <v>990</v>
      </c>
      <c r="C36" s="31" t="s">
        <v>773</v>
      </c>
      <c r="D36" s="159">
        <v>2839.2566285664</v>
      </c>
      <c r="E36" s="159">
        <v>41584.63657</v>
      </c>
      <c r="F36" s="180"/>
      <c r="G36" s="33"/>
      <c r="H36" s="33"/>
      <c r="I36" s="37"/>
      <c r="J36" s="38"/>
      <c r="K36" s="33"/>
      <c r="L36" s="33"/>
      <c r="M36" s="33"/>
      <c r="N36" s="33"/>
      <c r="O36" s="33"/>
      <c r="P36" s="33"/>
      <c r="Q36" s="37"/>
      <c r="R36" s="38"/>
      <c r="S36" s="33"/>
      <c r="T36" s="33"/>
      <c r="U36" s="39"/>
      <c r="V36" s="39"/>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row>
    <row r="37" spans="1:244" ht="17.25" customHeight="1">
      <c r="A37" s="150" t="s">
        <v>832</v>
      </c>
      <c r="B37" s="222" t="s">
        <v>839</v>
      </c>
      <c r="C37" s="66" t="s">
        <v>773</v>
      </c>
      <c r="D37" s="181">
        <v>0</v>
      </c>
      <c r="E37" s="181">
        <v>1967.07515</v>
      </c>
      <c r="F37" s="179" t="s">
        <v>911</v>
      </c>
      <c r="G37" s="33"/>
      <c r="H37" s="33"/>
      <c r="I37" s="40"/>
      <c r="J37" s="38"/>
      <c r="K37" s="33"/>
      <c r="L37" s="33"/>
      <c r="M37" s="33"/>
      <c r="N37" s="33"/>
      <c r="O37" s="33"/>
      <c r="P37" s="33"/>
      <c r="Q37" s="40"/>
      <c r="R37" s="38"/>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row>
    <row r="38" spans="1:244" ht="32.25" customHeight="1">
      <c r="A38" s="150" t="s">
        <v>833</v>
      </c>
      <c r="B38" s="222" t="s">
        <v>918</v>
      </c>
      <c r="C38" s="66" t="s">
        <v>773</v>
      </c>
      <c r="D38" s="181">
        <v>1330.7976141592</v>
      </c>
      <c r="E38" s="181">
        <v>5731.73676</v>
      </c>
      <c r="F38" s="179" t="s">
        <v>1035</v>
      </c>
      <c r="G38" s="33"/>
      <c r="H38" s="33"/>
      <c r="I38" s="41"/>
      <c r="J38" s="42"/>
      <c r="K38" s="33"/>
      <c r="L38" s="33"/>
      <c r="M38" s="33"/>
      <c r="N38" s="33"/>
      <c r="O38" s="33"/>
      <c r="P38" s="33"/>
      <c r="Q38" s="43"/>
      <c r="R38" s="42"/>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row>
    <row r="39" spans="1:6" ht="37.5" hidden="1">
      <c r="A39" s="150"/>
      <c r="B39" s="222" t="s">
        <v>606</v>
      </c>
      <c r="C39" s="66" t="s">
        <v>773</v>
      </c>
      <c r="D39" s="181">
        <v>0</v>
      </c>
      <c r="E39" s="181">
        <v>0</v>
      </c>
      <c r="F39" s="179"/>
    </row>
    <row r="40" spans="1:6" ht="51">
      <c r="A40" s="150" t="s">
        <v>1013</v>
      </c>
      <c r="B40" s="222" t="s">
        <v>655</v>
      </c>
      <c r="C40" s="66" t="s">
        <v>773</v>
      </c>
      <c r="D40" s="181">
        <v>1312.8290144072</v>
      </c>
      <c r="E40" s="181">
        <v>26.52998</v>
      </c>
      <c r="F40" s="187" t="s">
        <v>1012</v>
      </c>
    </row>
    <row r="41" spans="1:6" ht="42.75" customHeight="1">
      <c r="A41" s="150" t="s">
        <v>834</v>
      </c>
      <c r="B41" s="222" t="s">
        <v>673</v>
      </c>
      <c r="C41" s="66" t="s">
        <v>773</v>
      </c>
      <c r="D41" s="181">
        <v>0</v>
      </c>
      <c r="E41" s="181">
        <v>524.73454</v>
      </c>
      <c r="F41" s="188" t="s">
        <v>1006</v>
      </c>
    </row>
    <row r="42" spans="1:6" ht="37.5">
      <c r="A42" s="150" t="s">
        <v>1014</v>
      </c>
      <c r="B42" s="222" t="s">
        <v>917</v>
      </c>
      <c r="C42" s="66" t="s">
        <v>773</v>
      </c>
      <c r="D42" s="181">
        <v>0</v>
      </c>
      <c r="E42" s="181">
        <v>199.62997000000001</v>
      </c>
      <c r="F42" s="178" t="s">
        <v>911</v>
      </c>
    </row>
    <row r="43" spans="1:6" ht="21.75" customHeight="1" hidden="1">
      <c r="A43" s="150" t="s">
        <v>1016</v>
      </c>
      <c r="B43" s="222" t="s">
        <v>679</v>
      </c>
      <c r="C43" s="66" t="s">
        <v>773</v>
      </c>
      <c r="D43" s="181">
        <v>0</v>
      </c>
      <c r="E43" s="181">
        <v>0</v>
      </c>
      <c r="F43" s="179"/>
    </row>
    <row r="44" spans="1:6" ht="88.5" customHeight="1" hidden="1">
      <c r="A44" s="150"/>
      <c r="B44" s="222"/>
      <c r="C44" s="66" t="s">
        <v>773</v>
      </c>
      <c r="D44" s="181">
        <v>0</v>
      </c>
      <c r="E44" s="181"/>
      <c r="F44" s="210" t="s">
        <v>1031</v>
      </c>
    </row>
    <row r="45" spans="1:6" ht="42" customHeight="1">
      <c r="A45" s="150" t="s">
        <v>1015</v>
      </c>
      <c r="B45" s="222" t="s">
        <v>707</v>
      </c>
      <c r="C45" s="66" t="s">
        <v>773</v>
      </c>
      <c r="D45" s="181">
        <v>195.63</v>
      </c>
      <c r="E45" s="181">
        <v>33134.93017</v>
      </c>
      <c r="F45" s="208" t="s">
        <v>1010</v>
      </c>
    </row>
    <row r="46" spans="1:6" ht="56.25" customHeight="1" hidden="1">
      <c r="A46" s="150" t="s">
        <v>1017</v>
      </c>
      <c r="B46" s="183" t="s">
        <v>987</v>
      </c>
      <c r="C46" s="66" t="s">
        <v>773</v>
      </c>
      <c r="D46" s="181">
        <f>SUM(D47:D52)</f>
        <v>0</v>
      </c>
      <c r="E46" s="181">
        <f>SUM(E47:E52)</f>
        <v>0</v>
      </c>
      <c r="F46" s="242"/>
    </row>
    <row r="47" spans="1:6" ht="12.75" hidden="1">
      <c r="A47" s="150"/>
      <c r="B47" s="189" t="s">
        <v>981</v>
      </c>
      <c r="C47" s="66" t="s">
        <v>773</v>
      </c>
      <c r="D47" s="206"/>
      <c r="E47" s="206"/>
      <c r="F47" s="243"/>
    </row>
    <row r="48" spans="1:6" ht="25.5" hidden="1">
      <c r="A48" s="150"/>
      <c r="B48" s="189" t="s">
        <v>982</v>
      </c>
      <c r="C48" s="66" t="s">
        <v>773</v>
      </c>
      <c r="D48" s="206"/>
      <c r="E48" s="206"/>
      <c r="F48" s="243"/>
    </row>
    <row r="49" spans="1:6" ht="12.75" hidden="1">
      <c r="A49" s="150"/>
      <c r="B49" s="189" t="s">
        <v>983</v>
      </c>
      <c r="C49" s="66" t="s">
        <v>773</v>
      </c>
      <c r="D49" s="206"/>
      <c r="E49" s="206"/>
      <c r="F49" s="243"/>
    </row>
    <row r="50" spans="1:6" ht="12.75" hidden="1">
      <c r="A50" s="150"/>
      <c r="B50" s="189" t="s">
        <v>984</v>
      </c>
      <c r="C50" s="66" t="s">
        <v>773</v>
      </c>
      <c r="D50" s="206"/>
      <c r="E50" s="206"/>
      <c r="F50" s="243"/>
    </row>
    <row r="51" spans="1:6" ht="25.5" hidden="1">
      <c r="A51" s="150"/>
      <c r="B51" s="189" t="s">
        <v>985</v>
      </c>
      <c r="C51" s="66" t="s">
        <v>773</v>
      </c>
      <c r="D51" s="206"/>
      <c r="E51" s="206"/>
      <c r="F51" s="243"/>
    </row>
    <row r="52" spans="1:6" ht="25.5" hidden="1">
      <c r="A52" s="150"/>
      <c r="B52" s="182" t="s">
        <v>986</v>
      </c>
      <c r="C52" s="66" t="s">
        <v>773</v>
      </c>
      <c r="D52" s="206"/>
      <c r="E52" s="206"/>
      <c r="F52" s="244"/>
    </row>
    <row r="53" spans="1:6" ht="25.5" customHeight="1" hidden="1">
      <c r="A53" s="150" t="s">
        <v>1002</v>
      </c>
      <c r="B53" s="183" t="s">
        <v>1003</v>
      </c>
      <c r="C53" s="66" t="s">
        <v>773</v>
      </c>
      <c r="D53" s="181">
        <v>0</v>
      </c>
      <c r="E53" s="201"/>
      <c r="F53" s="202"/>
    </row>
    <row r="54" ht="12.75">
      <c r="E54" s="155"/>
    </row>
    <row r="55" ht="12.75">
      <c r="E55" s="126"/>
    </row>
  </sheetData>
  <sheetProtection/>
  <autoFilter ref="A32:IJ53"/>
  <mergeCells count="17">
    <mergeCell ref="D3:E3"/>
    <mergeCell ref="D29:D30"/>
    <mergeCell ref="E29:E30"/>
    <mergeCell ref="D28:E28"/>
    <mergeCell ref="F28:F30"/>
    <mergeCell ref="F46:F52"/>
    <mergeCell ref="D4:D5"/>
    <mergeCell ref="E4:E5"/>
    <mergeCell ref="C28:C30"/>
    <mergeCell ref="B28:B30"/>
    <mergeCell ref="A28:A30"/>
    <mergeCell ref="A2:C2"/>
    <mergeCell ref="A3:A5"/>
    <mergeCell ref="B3:B5"/>
    <mergeCell ref="C3:C5"/>
    <mergeCell ref="A27:C27"/>
    <mergeCell ref="F3:F5"/>
  </mergeCells>
  <printOptions horizontalCentered="1"/>
  <pageMargins left="0.5118110236220472" right="0" top="0.5511811023622047" bottom="0.1968503937007874" header="0.31496062992125984" footer="0.31496062992125984"/>
  <pageSetup blackAndWhite="1" fitToHeight="1"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dimension ref="A1:U434"/>
  <sheetViews>
    <sheetView zoomScalePageLayoutView="0" workbookViewId="0" topLeftCell="A1">
      <selection activeCell="T14" sqref="T14"/>
    </sheetView>
  </sheetViews>
  <sheetFormatPr defaultColWidth="9.00390625" defaultRowHeight="12.75" outlineLevelRow="2"/>
  <cols>
    <col min="1" max="1" width="36.875" style="0" customWidth="1"/>
    <col min="2" max="2" width="11.875" style="0" customWidth="1"/>
    <col min="3" max="3" width="14.00390625" style="53" hidden="1" customWidth="1"/>
    <col min="4" max="6" width="11.875" style="53" hidden="1" customWidth="1"/>
    <col min="7" max="7" width="13.75390625" style="53" hidden="1" customWidth="1"/>
    <col min="8" max="8" width="13.00390625" style="53" hidden="1" customWidth="1"/>
    <col min="9" max="12" width="11.875" style="53" hidden="1" customWidth="1"/>
    <col min="13" max="13" width="14.25390625" style="53" customWidth="1"/>
    <col min="14" max="14" width="11.875" style="53" customWidth="1"/>
    <col min="15" max="15" width="13.875" style="53" customWidth="1"/>
    <col min="16" max="16" width="14.375" style="53" customWidth="1"/>
    <col min="17" max="18" width="11.875" style="53" customWidth="1"/>
    <col min="19" max="19" width="11.625" style="0" bestFit="1" customWidth="1"/>
    <col min="20" max="20" width="12.875" style="0" customWidth="1"/>
    <col min="21" max="21" width="9.75390625" style="0" bestFit="1" customWidth="1"/>
  </cols>
  <sheetData>
    <row r="1" ht="32.25" customHeight="1">
      <c r="H1" s="47"/>
    </row>
    <row r="2" spans="1:18" ht="37.5" customHeight="1">
      <c r="A2" s="260" t="s">
        <v>921</v>
      </c>
      <c r="B2" s="260"/>
      <c r="C2" s="260"/>
      <c r="D2" s="260"/>
      <c r="E2" s="260"/>
      <c r="F2" s="260"/>
      <c r="G2" s="260"/>
      <c r="H2" s="260"/>
      <c r="I2" s="260"/>
      <c r="J2" s="260"/>
      <c r="K2" s="260"/>
      <c r="L2" s="260"/>
      <c r="M2" s="260"/>
      <c r="N2" s="260"/>
      <c r="O2" s="260"/>
      <c r="P2" s="260"/>
      <c r="Q2" s="260"/>
      <c r="R2" s="260"/>
    </row>
    <row r="4" spans="3:18" ht="13.5" thickBot="1">
      <c r="C4" s="23"/>
      <c r="D4" s="23"/>
      <c r="E4" s="23">
        <f>E14-E234</f>
        <v>1367024.1582770995</v>
      </c>
      <c r="F4" s="23"/>
      <c r="G4" s="23"/>
      <c r="H4" s="23"/>
      <c r="I4" s="163">
        <v>1.046257190300662</v>
      </c>
      <c r="J4" s="163">
        <v>1.046257190300662</v>
      </c>
      <c r="K4" s="164">
        <v>1.046257190300662</v>
      </c>
      <c r="L4" s="164">
        <v>1.046257190300662</v>
      </c>
      <c r="M4" s="163"/>
      <c r="N4" s="164">
        <v>1.0219230395073886</v>
      </c>
      <c r="O4" s="164"/>
      <c r="P4" s="164"/>
      <c r="Q4" s="164">
        <v>1.0264103640956623</v>
      </c>
      <c r="R4" s="165"/>
    </row>
    <row r="5" spans="1:18" s="67" customFormat="1" ht="11.25" customHeight="1">
      <c r="A5" s="251" t="s">
        <v>137</v>
      </c>
      <c r="B5" s="248" t="s">
        <v>138</v>
      </c>
      <c r="C5" s="261" t="s">
        <v>922</v>
      </c>
      <c r="D5" s="254" t="s">
        <v>840</v>
      </c>
      <c r="E5" s="254" t="s">
        <v>841</v>
      </c>
      <c r="F5" s="254" t="s">
        <v>842</v>
      </c>
      <c r="G5" s="254" t="s">
        <v>923</v>
      </c>
      <c r="H5" s="257" t="s">
        <v>924</v>
      </c>
      <c r="I5" s="248" t="s">
        <v>843</v>
      </c>
      <c r="J5" s="248" t="s">
        <v>844</v>
      </c>
      <c r="K5" s="248" t="s">
        <v>845</v>
      </c>
      <c r="L5" s="254" t="s">
        <v>925</v>
      </c>
      <c r="M5" s="257" t="s">
        <v>926</v>
      </c>
      <c r="N5" s="248" t="s">
        <v>846</v>
      </c>
      <c r="O5" s="248" t="s">
        <v>927</v>
      </c>
      <c r="P5" s="257" t="s">
        <v>928</v>
      </c>
      <c r="Q5" s="248" t="s">
        <v>929</v>
      </c>
      <c r="R5" s="248" t="s">
        <v>930</v>
      </c>
    </row>
    <row r="6" spans="1:18" s="67" customFormat="1" ht="11.25" customHeight="1">
      <c r="A6" s="252"/>
      <c r="B6" s="249"/>
      <c r="C6" s="262"/>
      <c r="D6" s="255"/>
      <c r="E6" s="255"/>
      <c r="F6" s="255"/>
      <c r="G6" s="255"/>
      <c r="H6" s="258"/>
      <c r="I6" s="249"/>
      <c r="J6" s="249"/>
      <c r="K6" s="249"/>
      <c r="L6" s="255"/>
      <c r="M6" s="258"/>
      <c r="N6" s="249"/>
      <c r="O6" s="249"/>
      <c r="P6" s="258"/>
      <c r="Q6" s="249"/>
      <c r="R6" s="249"/>
    </row>
    <row r="7" spans="1:18" s="67" customFormat="1" ht="12" thickBot="1">
      <c r="A7" s="253"/>
      <c r="B7" s="250"/>
      <c r="C7" s="263"/>
      <c r="D7" s="256"/>
      <c r="E7" s="256"/>
      <c r="F7" s="256"/>
      <c r="G7" s="256"/>
      <c r="H7" s="259"/>
      <c r="I7" s="250"/>
      <c r="J7" s="250"/>
      <c r="K7" s="250"/>
      <c r="L7" s="256"/>
      <c r="M7" s="259"/>
      <c r="N7" s="250"/>
      <c r="O7" s="250"/>
      <c r="P7" s="259"/>
      <c r="Q7" s="250"/>
      <c r="R7" s="250"/>
    </row>
    <row r="8" spans="1:18" s="67" customFormat="1" ht="12.75">
      <c r="A8" s="68">
        <v>1</v>
      </c>
      <c r="B8" s="69">
        <f>A8+1</f>
        <v>2</v>
      </c>
      <c r="C8" s="69"/>
      <c r="D8" s="69"/>
      <c r="E8" s="69"/>
      <c r="F8" s="69"/>
      <c r="G8" s="69"/>
      <c r="H8" s="69"/>
      <c r="I8" s="69"/>
      <c r="J8" s="69"/>
      <c r="K8" s="69"/>
      <c r="L8" s="69"/>
      <c r="M8" s="69"/>
      <c r="N8" s="69">
        <v>3</v>
      </c>
      <c r="O8" s="69">
        <v>4</v>
      </c>
      <c r="P8" s="69" t="s">
        <v>119</v>
      </c>
      <c r="Q8" s="69">
        <v>5</v>
      </c>
      <c r="R8" s="69">
        <v>6</v>
      </c>
    </row>
    <row r="9" spans="1:18" s="67" customFormat="1" ht="11.25">
      <c r="A9" s="70" t="s">
        <v>139</v>
      </c>
      <c r="B9" s="71">
        <v>12</v>
      </c>
      <c r="C9" s="72">
        <f>C10-C372-C374</f>
        <v>-1296357.4954000004</v>
      </c>
      <c r="D9" s="72"/>
      <c r="E9" s="72"/>
      <c r="F9" s="72"/>
      <c r="G9" s="72"/>
      <c r="H9" s="72">
        <f>H10-H373-H374</f>
        <v>-820180.0357789993</v>
      </c>
      <c r="I9" s="72"/>
      <c r="J9" s="72"/>
      <c r="K9" s="72"/>
      <c r="L9" s="72"/>
      <c r="M9" s="72">
        <f>M10-M373-M374</f>
        <v>-335512.9982373533</v>
      </c>
      <c r="N9" s="72"/>
      <c r="O9" s="72">
        <f>O10-O373-O374</f>
        <v>-1212164.5431699995</v>
      </c>
      <c r="P9" s="72">
        <f>P10-P373-P374</f>
        <v>-1039949.3486299997</v>
      </c>
      <c r="Q9" s="72"/>
      <c r="R9" s="72">
        <f>R10-R373-R374</f>
        <v>-576003.8020715168</v>
      </c>
    </row>
    <row r="10" spans="1:18" s="67" customFormat="1" ht="11.25">
      <c r="A10" s="73" t="s">
        <v>140</v>
      </c>
      <c r="B10" s="74">
        <v>10</v>
      </c>
      <c r="C10" s="75">
        <f>C11-C108-C210-C223-C289-C299-C375+C376+C411</f>
        <v>-1324402.9236200005</v>
      </c>
      <c r="D10" s="75"/>
      <c r="E10" s="75"/>
      <c r="F10" s="75"/>
      <c r="G10" s="75"/>
      <c r="H10" s="75">
        <f>H11-H108-H210-H223-H289-H299-H375+H376+H411</f>
        <v>-1018889.3551289992</v>
      </c>
      <c r="I10" s="75"/>
      <c r="J10" s="75"/>
      <c r="K10" s="75"/>
      <c r="L10" s="75"/>
      <c r="M10" s="75">
        <f>M11-M108-M210-M223-M289-M299-M375+M376+M411</f>
        <v>-652943.3581473533</v>
      </c>
      <c r="N10" s="75"/>
      <c r="O10" s="75">
        <f>O11-O108-O210-O223-O289-O299-O375+O376+O411</f>
        <v>-1138573.9094299995</v>
      </c>
      <c r="P10" s="75">
        <f>P11-P108-P210-P223-P289-P299-P375+P376+P411</f>
        <v>-966358.7148899996</v>
      </c>
      <c r="Q10" s="75"/>
      <c r="R10" s="75">
        <f>R11-R108-R210-R223-R289-R299-R375+R376+R411</f>
        <v>-747162.4539462738</v>
      </c>
    </row>
    <row r="11" spans="1:18" s="67" customFormat="1" ht="11.25">
      <c r="A11" s="73" t="s">
        <v>141</v>
      </c>
      <c r="B11" s="74">
        <v>5</v>
      </c>
      <c r="C11" s="75">
        <f>C12</f>
        <v>-285104.75390000036</v>
      </c>
      <c r="D11" s="75"/>
      <c r="E11" s="75"/>
      <c r="F11" s="75"/>
      <c r="G11" s="75"/>
      <c r="H11" s="75">
        <f>H12</f>
        <v>-240313.1019199994</v>
      </c>
      <c r="I11" s="75"/>
      <c r="J11" s="75"/>
      <c r="K11" s="75"/>
      <c r="L11" s="75"/>
      <c r="M11" s="75">
        <f>M12</f>
        <v>-216114.23631735332</v>
      </c>
      <c r="N11" s="75"/>
      <c r="O11" s="75">
        <f>O12</f>
        <v>-367806.0049999998</v>
      </c>
      <c r="P11" s="75">
        <f>P12</f>
        <v>-347664.71099999954</v>
      </c>
      <c r="Q11" s="75"/>
      <c r="R11" s="75">
        <f>R12</f>
        <v>-389250.0499999998</v>
      </c>
    </row>
    <row r="12" spans="1:18" s="67" customFormat="1" ht="11.25">
      <c r="A12" s="73" t="s">
        <v>142</v>
      </c>
      <c r="B12" s="74">
        <v>3</v>
      </c>
      <c r="C12" s="75">
        <f>C13-C15+C108</f>
        <v>-285104.75390000036</v>
      </c>
      <c r="D12" s="75"/>
      <c r="E12" s="75"/>
      <c r="F12" s="75"/>
      <c r="G12" s="75"/>
      <c r="H12" s="75">
        <f>H14-H15+H108</f>
        <v>-240313.1019199994</v>
      </c>
      <c r="I12" s="75"/>
      <c r="J12" s="75"/>
      <c r="K12" s="75"/>
      <c r="L12" s="75"/>
      <c r="M12" s="75">
        <f>M14-M15+M108</f>
        <v>-216114.23631735332</v>
      </c>
      <c r="N12" s="75"/>
      <c r="O12" s="75">
        <f>O14-O15+O108</f>
        <v>-367806.0049999998</v>
      </c>
      <c r="P12" s="75">
        <f>P14-P15+P108</f>
        <v>-347664.71099999954</v>
      </c>
      <c r="Q12" s="75"/>
      <c r="R12" s="75">
        <f>R14-R15+R108</f>
        <v>-389250.0499999998</v>
      </c>
    </row>
    <row r="13" spans="1:18" s="67" customFormat="1" ht="11.25">
      <c r="A13" s="73" t="s">
        <v>143</v>
      </c>
      <c r="B13" s="74">
        <v>1</v>
      </c>
      <c r="C13" s="75">
        <f>SUM(C14,)</f>
        <v>1188746.0221</v>
      </c>
      <c r="D13" s="75">
        <f aca="true" t="shared" si="0" ref="D13:N13">SUM(D14,)</f>
        <v>1667073.1782337932</v>
      </c>
      <c r="E13" s="75">
        <f t="shared" si="0"/>
        <v>1667073.178233793</v>
      </c>
      <c r="F13" s="75">
        <f t="shared" si="0"/>
        <v>1667073.1782337932</v>
      </c>
      <c r="G13" s="75">
        <f t="shared" si="0"/>
        <v>1667073.1792337932</v>
      </c>
      <c r="H13" s="75">
        <f>H14</f>
        <v>1435312.42308</v>
      </c>
      <c r="I13" s="75">
        <f t="shared" si="0"/>
        <v>1729564.8882346046</v>
      </c>
      <c r="J13" s="75">
        <f t="shared" si="0"/>
        <v>1729564.8849822902</v>
      </c>
      <c r="K13" s="75">
        <f t="shared" si="0"/>
        <v>1704290.3008172775</v>
      </c>
      <c r="L13" s="75">
        <f t="shared" si="0"/>
        <v>1704290.3071111478</v>
      </c>
      <c r="M13" s="75">
        <f>M14</f>
        <v>1562949.233</v>
      </c>
      <c r="N13" s="75">
        <f t="shared" si="0"/>
        <v>1772591.5378698935</v>
      </c>
      <c r="O13" s="75">
        <v>3205253.301</v>
      </c>
      <c r="P13" s="75">
        <f>P14</f>
        <v>1474241.4700000002</v>
      </c>
      <c r="Q13" s="75"/>
      <c r="R13" s="75">
        <f>R14</f>
        <v>1721053.658</v>
      </c>
    </row>
    <row r="14" spans="1:18" s="79" customFormat="1" ht="23.25" thickBot="1">
      <c r="A14" s="76" t="s">
        <v>144</v>
      </c>
      <c r="B14" s="77" t="s">
        <v>5</v>
      </c>
      <c r="C14" s="78">
        <v>1188746.0221</v>
      </c>
      <c r="D14" s="78">
        <f>D16+D232+D412</f>
        <v>1667073.1782337932</v>
      </c>
      <c r="E14" s="78">
        <f>E16+E232+E412</f>
        <v>1667073.178233793</v>
      </c>
      <c r="F14" s="78">
        <f>F16+F232+F412</f>
        <v>1667073.1782337932</v>
      </c>
      <c r="G14" s="78">
        <f>G16+G232+G412</f>
        <v>1667073.1792337932</v>
      </c>
      <c r="H14" s="78">
        <v>1435312.42308</v>
      </c>
      <c r="I14" s="78">
        <f>I16+I232+I412</f>
        <v>1729564.8882346046</v>
      </c>
      <c r="J14" s="78">
        <f>J16+J232+J412</f>
        <v>1729564.8849822902</v>
      </c>
      <c r="K14" s="78">
        <f>K16+K232+K412</f>
        <v>1704290.3008172775</v>
      </c>
      <c r="L14" s="78">
        <f>L16+L232+L412</f>
        <v>1704290.3071111478</v>
      </c>
      <c r="M14" s="78">
        <v>1562949.233</v>
      </c>
      <c r="N14" s="78">
        <f>N16+N232+N412</f>
        <v>1772591.5378698935</v>
      </c>
      <c r="O14" s="78">
        <v>1474241.4700000002</v>
      </c>
      <c r="P14" s="78">
        <f>O14</f>
        <v>1474241.4700000002</v>
      </c>
      <c r="Q14" s="78">
        <f>Q16+Q232+Q412+Q372</f>
        <v>1801416.658346922</v>
      </c>
      <c r="R14" s="78">
        <v>1721053.658</v>
      </c>
    </row>
    <row r="15" spans="1:18" s="79" customFormat="1" ht="12" thickBot="1">
      <c r="A15" s="76" t="s">
        <v>145</v>
      </c>
      <c r="B15" s="77"/>
      <c r="C15" s="78">
        <f aca="true" t="shared" si="1" ref="C15:I15">C16+C232-C210-C299-C289-C223</f>
        <v>1512470.6591000003</v>
      </c>
      <c r="D15" s="78">
        <f t="shared" si="1"/>
        <v>1615040.7215337933</v>
      </c>
      <c r="E15" s="78">
        <f t="shared" si="1"/>
        <v>1613082.9015337932</v>
      </c>
      <c r="F15" s="78">
        <f t="shared" si="1"/>
        <v>1598776.3005337932</v>
      </c>
      <c r="G15" s="78">
        <f t="shared" si="1"/>
        <v>1612528.8715337932</v>
      </c>
      <c r="H15" s="78">
        <f t="shared" si="1"/>
        <v>1718073.1194299995</v>
      </c>
      <c r="I15" s="78">
        <f t="shared" si="1"/>
        <v>1713100.7768828524</v>
      </c>
      <c r="J15" s="78">
        <f>J16+J232-J210-J299-J289-J223-J288</f>
        <v>1692242.360320538</v>
      </c>
      <c r="K15" s="78">
        <f>K16+K232-K210-K299-K289-K223-K288</f>
        <v>1669016.1561555252</v>
      </c>
      <c r="L15" s="78">
        <f>L16+L232-L210-L299-L289-L223-L288</f>
        <v>1669016.1624493955</v>
      </c>
      <c r="M15" s="78">
        <f>M16+M232-M210-M299-M289-M223</f>
        <v>1826439.2103273533</v>
      </c>
      <c r="N15" s="78">
        <f>N16+N232-N210-N299-N289-N223-N288</f>
        <v>1721631.1673793204</v>
      </c>
      <c r="O15" s="78">
        <f>O16+O232-O210-O299-O289-O223</f>
        <v>1893020.16255</v>
      </c>
      <c r="P15" s="78">
        <f>P16+P232-P210-P299-P289-P223</f>
        <v>1870804.1236199997</v>
      </c>
      <c r="Q15" s="78">
        <f>Q16+Q232-Q210-Q299-Q289-Q223</f>
        <v>1789622.5983677777</v>
      </c>
      <c r="R15" s="78">
        <f>R16+R232-R210-R299-R289-R223</f>
        <v>2189831.16571</v>
      </c>
    </row>
    <row r="16" spans="1:18" s="79" customFormat="1" ht="12" thickBot="1">
      <c r="A16" s="80" t="s">
        <v>847</v>
      </c>
      <c r="B16" s="81"/>
      <c r="C16" s="82">
        <f aca="true" t="shared" si="2" ref="C16:K16">C17+C56+C86+C102+C104+C210+C223</f>
        <v>674001.01958</v>
      </c>
      <c r="D16" s="82">
        <f t="shared" si="2"/>
        <v>756810.1608214851</v>
      </c>
      <c r="E16" s="82">
        <f t="shared" si="2"/>
        <v>754852.340821485</v>
      </c>
      <c r="F16" s="82">
        <f t="shared" si="2"/>
        <v>740545.739821485</v>
      </c>
      <c r="G16" s="82">
        <f t="shared" si="2"/>
        <v>754298.310821485</v>
      </c>
      <c r="H16" s="82">
        <f t="shared" si="2"/>
        <v>735655.6564799999</v>
      </c>
      <c r="I16" s="82">
        <f t="shared" si="2"/>
        <v>791818.0724520793</v>
      </c>
      <c r="J16" s="82">
        <f t="shared" si="2"/>
        <v>789769.6891997649</v>
      </c>
      <c r="K16" s="82">
        <f t="shared" si="2"/>
        <v>774801.3050347521</v>
      </c>
      <c r="L16" s="82">
        <f aca="true" t="shared" si="3" ref="L16:R16">L17+L56+L86+L102+L104+L210+L223</f>
        <v>789190.0313286226</v>
      </c>
      <c r="M16" s="82">
        <f t="shared" si="3"/>
        <v>829063.2525899998</v>
      </c>
      <c r="N16" s="82">
        <f t="shared" si="3"/>
        <v>806491.4755642773</v>
      </c>
      <c r="O16" s="82">
        <f t="shared" si="3"/>
        <v>894327.34317</v>
      </c>
      <c r="P16" s="82">
        <f t="shared" si="3"/>
        <v>876576.2007699999</v>
      </c>
      <c r="Q16" s="82">
        <f t="shared" si="3"/>
        <v>827791.2090739777</v>
      </c>
      <c r="R16" s="82">
        <f t="shared" si="3"/>
        <v>985910.9402899999</v>
      </c>
    </row>
    <row r="17" spans="1:18" s="67" customFormat="1" ht="11.25">
      <c r="A17" s="70" t="s">
        <v>146</v>
      </c>
      <c r="B17" s="83" t="s">
        <v>147</v>
      </c>
      <c r="C17" s="72">
        <f aca="true" t="shared" si="4" ref="C17:R17">SUM(C18,C20,)</f>
        <v>91048.738</v>
      </c>
      <c r="D17" s="72">
        <f aca="true" t="shared" si="5" ref="D17:I17">SUM(D18,D20,)</f>
        <v>98821.54023356756</v>
      </c>
      <c r="E17" s="72">
        <f t="shared" si="5"/>
        <v>98821.54023356756</v>
      </c>
      <c r="F17" s="72">
        <f t="shared" si="5"/>
        <v>98821.54023356756</v>
      </c>
      <c r="G17" s="72">
        <f t="shared" si="5"/>
        <v>98821.54023356756</v>
      </c>
      <c r="H17" s="72">
        <f t="shared" si="5"/>
        <v>100979.294</v>
      </c>
      <c r="I17" s="72">
        <f t="shared" si="5"/>
        <v>103392.74702595623</v>
      </c>
      <c r="J17" s="72">
        <f t="shared" si="4"/>
        <v>103392.74702595623</v>
      </c>
      <c r="K17" s="72">
        <f t="shared" si="4"/>
        <v>103392.74702595623</v>
      </c>
      <c r="L17" s="72">
        <f t="shared" si="4"/>
        <v>103392.74702595623</v>
      </c>
      <c r="M17" s="72">
        <f t="shared" si="4"/>
        <v>106267.64000000001</v>
      </c>
      <c r="N17" s="72">
        <f t="shared" si="4"/>
        <v>105659.4303037837</v>
      </c>
      <c r="O17" s="72">
        <f t="shared" si="4"/>
        <v>106532.073</v>
      </c>
      <c r="P17" s="72">
        <f t="shared" si="4"/>
        <v>104591.37100000001</v>
      </c>
      <c r="Q17" s="72">
        <f t="shared" si="4"/>
        <v>108449.93432824688</v>
      </c>
      <c r="R17" s="72">
        <f t="shared" si="4"/>
        <v>105089.60500000001</v>
      </c>
    </row>
    <row r="18" spans="1:18" s="67" customFormat="1" ht="22.5">
      <c r="A18" s="73" t="s">
        <v>148</v>
      </c>
      <c r="B18" s="84" t="s">
        <v>149</v>
      </c>
      <c r="C18" s="75">
        <f aca="true" t="shared" si="6" ref="C18:R18">SUM(C19:C19)</f>
        <v>10767.807</v>
      </c>
      <c r="D18" s="75">
        <f t="shared" si="6"/>
        <v>14927.19</v>
      </c>
      <c r="E18" s="75">
        <f t="shared" si="6"/>
        <v>14927.19</v>
      </c>
      <c r="F18" s="75">
        <f t="shared" si="6"/>
        <v>14927.19</v>
      </c>
      <c r="G18" s="75">
        <f t="shared" si="6"/>
        <v>14927.19</v>
      </c>
      <c r="H18" s="75">
        <f t="shared" si="6"/>
        <v>8954.572</v>
      </c>
      <c r="I18" s="75">
        <f t="shared" si="6"/>
        <v>15617.679868484141</v>
      </c>
      <c r="J18" s="75">
        <f t="shared" si="6"/>
        <v>15617.679868484141</v>
      </c>
      <c r="K18" s="75">
        <f t="shared" si="6"/>
        <v>15617.679868484141</v>
      </c>
      <c r="L18" s="75">
        <f t="shared" si="6"/>
        <v>15617.679868484141</v>
      </c>
      <c r="M18" s="75">
        <f t="shared" si="6"/>
        <v>9346.887999999999</v>
      </c>
      <c r="N18" s="75">
        <f t="shared" si="6"/>
        <v>15960.066881254666</v>
      </c>
      <c r="O18" s="75">
        <f t="shared" si="6"/>
        <v>10918.296</v>
      </c>
      <c r="P18" s="75">
        <f t="shared" si="6"/>
        <v>10738.637999999999</v>
      </c>
      <c r="Q18" s="75">
        <f t="shared" si="6"/>
        <v>16381.578058579724</v>
      </c>
      <c r="R18" s="75">
        <f t="shared" si="6"/>
        <v>12742.618</v>
      </c>
    </row>
    <row r="19" spans="1:18" s="67" customFormat="1" ht="22.5">
      <c r="A19" s="85" t="s">
        <v>150</v>
      </c>
      <c r="B19" s="86" t="s">
        <v>151</v>
      </c>
      <c r="C19" s="87">
        <v>10767.807</v>
      </c>
      <c r="D19" s="87">
        <v>14927.19</v>
      </c>
      <c r="E19" s="87">
        <v>14927.19</v>
      </c>
      <c r="F19" s="87">
        <v>14927.19</v>
      </c>
      <c r="G19" s="87">
        <v>14927.19</v>
      </c>
      <c r="H19" s="87">
        <v>8954.572</v>
      </c>
      <c r="I19" s="87">
        <f>D19*$J$4</f>
        <v>15617.679868484141</v>
      </c>
      <c r="J19" s="87">
        <f>E19*$J$4</f>
        <v>15617.679868484141</v>
      </c>
      <c r="K19" s="87">
        <f>F19*$J$4</f>
        <v>15617.679868484141</v>
      </c>
      <c r="L19" s="87">
        <f>G19*$L$4</f>
        <v>15617.679868484141</v>
      </c>
      <c r="M19" s="87">
        <v>9346.887999999999</v>
      </c>
      <c r="N19" s="87">
        <f>L19*$N$4</f>
        <v>15960.066881254666</v>
      </c>
      <c r="O19" s="87">
        <v>10918.296</v>
      </c>
      <c r="P19" s="87">
        <v>10738.637999999999</v>
      </c>
      <c r="Q19" s="87">
        <f>N19*$Q$4</f>
        <v>16381.578058579724</v>
      </c>
      <c r="R19" s="87">
        <v>12742.618</v>
      </c>
    </row>
    <row r="20" spans="1:18" s="67" customFormat="1" ht="11.25">
      <c r="A20" s="73" t="s">
        <v>152</v>
      </c>
      <c r="B20" s="84" t="s">
        <v>153</v>
      </c>
      <c r="C20" s="75">
        <f aca="true" t="shared" si="7" ref="C20:R20">SUM(C21,C24,C35,C43)</f>
        <v>80280.931</v>
      </c>
      <c r="D20" s="75">
        <f>SUM(D21,D24,D35,D43)</f>
        <v>83894.35023356756</v>
      </c>
      <c r="E20" s="75">
        <f>SUM(E21,E24,E35,E43)</f>
        <v>83894.35023356756</v>
      </c>
      <c r="F20" s="75">
        <f>SUM(F21,F24,F35,F43)</f>
        <v>83894.35023356756</v>
      </c>
      <c r="G20" s="75">
        <f>SUM(G21,G24,G35,G43)</f>
        <v>83894.35023356756</v>
      </c>
      <c r="H20" s="75">
        <f t="shared" si="7"/>
        <v>92024.722</v>
      </c>
      <c r="I20" s="75">
        <f t="shared" si="7"/>
        <v>87775.06715747209</v>
      </c>
      <c r="J20" s="75">
        <f t="shared" si="7"/>
        <v>87775.06715747209</v>
      </c>
      <c r="K20" s="75">
        <f t="shared" si="7"/>
        <v>87775.06715747209</v>
      </c>
      <c r="L20" s="75">
        <f t="shared" si="7"/>
        <v>87775.06715747209</v>
      </c>
      <c r="M20" s="75">
        <f t="shared" si="7"/>
        <v>96920.75200000001</v>
      </c>
      <c r="N20" s="75">
        <f t="shared" si="7"/>
        <v>89699.36342252903</v>
      </c>
      <c r="O20" s="75">
        <f t="shared" si="7"/>
        <v>95613.777</v>
      </c>
      <c r="P20" s="75">
        <f t="shared" si="7"/>
        <v>93852.73300000001</v>
      </c>
      <c r="Q20" s="75">
        <f>SUM(Q21,Q24,Q35,Q43)</f>
        <v>92068.35626966716</v>
      </c>
      <c r="R20" s="75">
        <f t="shared" si="7"/>
        <v>92346.98700000001</v>
      </c>
    </row>
    <row r="21" spans="1:18" s="67" customFormat="1" ht="11.25">
      <c r="A21" s="73" t="s">
        <v>154</v>
      </c>
      <c r="B21" s="84" t="s">
        <v>155</v>
      </c>
      <c r="C21" s="75">
        <f>SUM(C22:C23)</f>
        <v>23720.802</v>
      </c>
      <c r="D21" s="75">
        <v>26232.799507200005</v>
      </c>
      <c r="E21" s="75">
        <v>26232.799507200005</v>
      </c>
      <c r="F21" s="75">
        <v>26232.799507200005</v>
      </c>
      <c r="G21" s="75">
        <v>26232.799507200005</v>
      </c>
      <c r="H21" s="75">
        <f>SUM(H22:H23)</f>
        <v>30125.529</v>
      </c>
      <c r="I21" s="75">
        <f aca="true" t="shared" si="8" ref="I21:K23">D21*$J$4</f>
        <v>27446.25510612367</v>
      </c>
      <c r="J21" s="75">
        <f t="shared" si="8"/>
        <v>27446.25510612367</v>
      </c>
      <c r="K21" s="75">
        <f t="shared" si="8"/>
        <v>27446.25510612367</v>
      </c>
      <c r="L21" s="75">
        <f>G21*$L$4</f>
        <v>27446.25510612367</v>
      </c>
      <c r="M21" s="75">
        <f>SUM(M22:M23)</f>
        <v>27643.998</v>
      </c>
      <c r="N21" s="75">
        <f>L21*$N$4</f>
        <v>28047.960441145085</v>
      </c>
      <c r="O21" s="75">
        <f>SUM(O22:O23)</f>
        <v>26471.873</v>
      </c>
      <c r="P21" s="75">
        <f>SUM(P22:P23)</f>
        <v>25456.671</v>
      </c>
      <c r="Q21" s="75">
        <f>N21*$Q$4</f>
        <v>28788.71728853646</v>
      </c>
      <c r="R21" s="75">
        <f>SUM(R22:R23)</f>
        <v>30840.267</v>
      </c>
    </row>
    <row r="22" spans="1:18" s="67" customFormat="1" ht="22.5" customHeight="1">
      <c r="A22" s="85" t="s">
        <v>156</v>
      </c>
      <c r="B22" s="86" t="s">
        <v>157</v>
      </c>
      <c r="C22" s="87">
        <v>1926.215</v>
      </c>
      <c r="D22" s="87">
        <v>0</v>
      </c>
      <c r="E22" s="87">
        <v>0</v>
      </c>
      <c r="F22" s="87">
        <v>0</v>
      </c>
      <c r="G22" s="87">
        <v>0</v>
      </c>
      <c r="H22" s="87">
        <v>2111.033</v>
      </c>
      <c r="I22" s="87">
        <f t="shared" si="8"/>
        <v>0</v>
      </c>
      <c r="J22" s="87">
        <f t="shared" si="8"/>
        <v>0</v>
      </c>
      <c r="K22" s="87">
        <f t="shared" si="8"/>
        <v>0</v>
      </c>
      <c r="L22" s="87">
        <f>G22*$L$4</f>
        <v>0</v>
      </c>
      <c r="M22" s="87">
        <v>2225.459</v>
      </c>
      <c r="N22" s="87">
        <f>L22*$N$4</f>
        <v>0</v>
      </c>
      <c r="O22" s="87">
        <v>1702.741</v>
      </c>
      <c r="P22" s="87">
        <v>1675.696</v>
      </c>
      <c r="Q22" s="87">
        <f>N22*$Q$4</f>
        <v>0</v>
      </c>
      <c r="R22" s="87">
        <v>3022.901</v>
      </c>
    </row>
    <row r="23" spans="1:18" s="67" customFormat="1" ht="22.5">
      <c r="A23" s="85" t="s">
        <v>158</v>
      </c>
      <c r="B23" s="86" t="s">
        <v>159</v>
      </c>
      <c r="C23" s="87">
        <v>21794.587</v>
      </c>
      <c r="D23" s="87">
        <v>0</v>
      </c>
      <c r="E23" s="87">
        <v>0</v>
      </c>
      <c r="F23" s="87">
        <v>0</v>
      </c>
      <c r="G23" s="87">
        <v>0</v>
      </c>
      <c r="H23" s="87">
        <v>28014.496</v>
      </c>
      <c r="I23" s="87">
        <f t="shared" si="8"/>
        <v>0</v>
      </c>
      <c r="J23" s="87">
        <f t="shared" si="8"/>
        <v>0</v>
      </c>
      <c r="K23" s="87">
        <f t="shared" si="8"/>
        <v>0</v>
      </c>
      <c r="L23" s="87">
        <f>G23*$L$4</f>
        <v>0</v>
      </c>
      <c r="M23" s="87">
        <v>25418.539</v>
      </c>
      <c r="N23" s="87">
        <f>L23*$N$4</f>
        <v>0</v>
      </c>
      <c r="O23" s="87">
        <v>24769.132</v>
      </c>
      <c r="P23" s="87">
        <v>23780.975</v>
      </c>
      <c r="Q23" s="87">
        <f>N23*$Q$4</f>
        <v>0</v>
      </c>
      <c r="R23" s="87">
        <v>27817.366</v>
      </c>
    </row>
    <row r="24" spans="1:18" s="67" customFormat="1" ht="11.25">
      <c r="A24" s="73" t="s">
        <v>160</v>
      </c>
      <c r="B24" s="84" t="s">
        <v>161</v>
      </c>
      <c r="C24" s="75">
        <f aca="true" t="shared" si="9" ref="C24:R24">SUM(C25:C34)</f>
        <v>9731.100999999999</v>
      </c>
      <c r="D24" s="75">
        <f t="shared" si="9"/>
        <v>7357.830335199999</v>
      </c>
      <c r="E24" s="75">
        <f t="shared" si="9"/>
        <v>7357.830335199999</v>
      </c>
      <c r="F24" s="75">
        <f t="shared" si="9"/>
        <v>7357.830335199999</v>
      </c>
      <c r="G24" s="75">
        <f t="shared" si="9"/>
        <v>7357.830335199999</v>
      </c>
      <c r="H24" s="75">
        <f t="shared" si="9"/>
        <v>6013.558</v>
      </c>
      <c r="I24" s="75">
        <f t="shared" si="9"/>
        <v>7698.18289321533</v>
      </c>
      <c r="J24" s="75">
        <f t="shared" si="9"/>
        <v>7698.18289321533</v>
      </c>
      <c r="K24" s="75">
        <f t="shared" si="9"/>
        <v>7698.18289321533</v>
      </c>
      <c r="L24" s="75">
        <f t="shared" si="9"/>
        <v>7698.18289321533</v>
      </c>
      <c r="M24" s="75">
        <f t="shared" si="9"/>
        <v>11928.431</v>
      </c>
      <c r="N24" s="75">
        <f t="shared" si="9"/>
        <v>7866.950460918393</v>
      </c>
      <c r="O24" s="75">
        <f t="shared" si="9"/>
        <v>4890.86</v>
      </c>
      <c r="P24" s="75">
        <f t="shared" si="9"/>
        <v>4875.082</v>
      </c>
      <c r="Q24" s="75">
        <f t="shared" si="9"/>
        <v>8074.7194869137875</v>
      </c>
      <c r="R24" s="75">
        <f t="shared" si="9"/>
        <v>5300.476</v>
      </c>
    </row>
    <row r="25" spans="1:18" s="67" customFormat="1" ht="22.5">
      <c r="A25" s="85" t="s">
        <v>162</v>
      </c>
      <c r="B25" s="86" t="s">
        <v>163</v>
      </c>
      <c r="C25" s="87">
        <v>2126.394</v>
      </c>
      <c r="D25" s="87">
        <v>1562.9091191999994</v>
      </c>
      <c r="E25" s="87">
        <v>1562.9091191999994</v>
      </c>
      <c r="F25" s="87">
        <v>1562.9091191999994</v>
      </c>
      <c r="G25" s="87">
        <v>1562.9091191999994</v>
      </c>
      <c r="H25" s="87">
        <v>1422.639</v>
      </c>
      <c r="I25" s="87">
        <f aca="true" t="shared" si="10" ref="I25:K34">D25*$J$4</f>
        <v>1635.204903749474</v>
      </c>
      <c r="J25" s="87">
        <f t="shared" si="10"/>
        <v>1635.204903749474</v>
      </c>
      <c r="K25" s="87">
        <f t="shared" si="10"/>
        <v>1635.204903749474</v>
      </c>
      <c r="L25" s="87">
        <f aca="true" t="shared" si="11" ref="L25:L34">G25*$L$4</f>
        <v>1635.204903749474</v>
      </c>
      <c r="M25" s="87">
        <v>1025.581</v>
      </c>
      <c r="N25" s="87">
        <f aca="true" t="shared" si="12" ref="N25:N34">L25*$N$4</f>
        <v>1671.0535654570492</v>
      </c>
      <c r="O25" s="87">
        <v>853.579</v>
      </c>
      <c r="P25" s="87">
        <v>853.5790000000001</v>
      </c>
      <c r="Q25" s="87">
        <f aca="true" t="shared" si="13" ref="Q25:Q34">N25*$Q$4</f>
        <v>1715.1866985441245</v>
      </c>
      <c r="R25" s="87">
        <v>1213.838</v>
      </c>
    </row>
    <row r="26" spans="1:18" s="67" customFormat="1" ht="22.5">
      <c r="A26" s="85" t="s">
        <v>164</v>
      </c>
      <c r="B26" s="86" t="s">
        <v>165</v>
      </c>
      <c r="C26" s="87">
        <v>78.085</v>
      </c>
      <c r="D26" s="87">
        <v>97.35897600000001</v>
      </c>
      <c r="E26" s="87">
        <v>97.35897600000001</v>
      </c>
      <c r="F26" s="87">
        <v>97.35897600000001</v>
      </c>
      <c r="G26" s="87">
        <v>97.35897600000001</v>
      </c>
      <c r="H26" s="87">
        <v>61.512</v>
      </c>
      <c r="I26" s="87">
        <f t="shared" si="10"/>
        <v>101.86252868030961</v>
      </c>
      <c r="J26" s="87">
        <f t="shared" si="10"/>
        <v>101.86252868030961</v>
      </c>
      <c r="K26" s="87">
        <f t="shared" si="10"/>
        <v>101.86252868030961</v>
      </c>
      <c r="L26" s="87">
        <f t="shared" si="11"/>
        <v>101.86252868030961</v>
      </c>
      <c r="M26" s="87">
        <v>16.735</v>
      </c>
      <c r="N26" s="87">
        <f t="shared" si="12"/>
        <v>104.09566492089054</v>
      </c>
      <c r="O26" s="87">
        <v>39.733</v>
      </c>
      <c r="P26" s="87">
        <v>39.733</v>
      </c>
      <c r="Q26" s="87">
        <f t="shared" si="13"/>
        <v>106.84486933223133</v>
      </c>
      <c r="R26" s="87">
        <v>285.981</v>
      </c>
    </row>
    <row r="27" spans="1:18" s="67" customFormat="1" ht="22.5">
      <c r="A27" s="85" t="s">
        <v>166</v>
      </c>
      <c r="B27" s="86" t="s">
        <v>167</v>
      </c>
      <c r="C27" s="87">
        <v>464.725</v>
      </c>
      <c r="D27" s="87">
        <v>484.13851200000005</v>
      </c>
      <c r="E27" s="87">
        <v>484.13851200000005</v>
      </c>
      <c r="F27" s="87">
        <v>484.13851200000005</v>
      </c>
      <c r="G27" s="87">
        <v>484.13851200000005</v>
      </c>
      <c r="H27" s="87">
        <v>164</v>
      </c>
      <c r="I27" s="87">
        <f t="shared" si="10"/>
        <v>506.53339928146346</v>
      </c>
      <c r="J27" s="87">
        <f t="shared" si="10"/>
        <v>506.53339928146346</v>
      </c>
      <c r="K27" s="87">
        <f t="shared" si="10"/>
        <v>506.53339928146346</v>
      </c>
      <c r="L27" s="87">
        <f t="shared" si="11"/>
        <v>506.53339928146346</v>
      </c>
      <c r="M27" s="87">
        <v>225.061</v>
      </c>
      <c r="N27" s="87">
        <f t="shared" si="12"/>
        <v>517.6381510057229</v>
      </c>
      <c r="O27" s="87">
        <v>68.14</v>
      </c>
      <c r="P27" s="87">
        <v>66.646</v>
      </c>
      <c r="Q27" s="87">
        <f t="shared" si="13"/>
        <v>531.3091630435895</v>
      </c>
      <c r="R27" s="87">
        <v>213.069</v>
      </c>
    </row>
    <row r="28" spans="1:18" s="67" customFormat="1" ht="33.75">
      <c r="A28" s="85" t="s">
        <v>168</v>
      </c>
      <c r="B28" s="86" t="s">
        <v>169</v>
      </c>
      <c r="C28" s="87">
        <v>187.949</v>
      </c>
      <c r="D28" s="87">
        <v>241.299</v>
      </c>
      <c r="E28" s="87">
        <v>241.299</v>
      </c>
      <c r="F28" s="87">
        <v>241.299</v>
      </c>
      <c r="G28" s="87">
        <v>241.299</v>
      </c>
      <c r="H28" s="87">
        <v>432.584</v>
      </c>
      <c r="I28" s="87">
        <f t="shared" si="10"/>
        <v>252.46081376235946</v>
      </c>
      <c r="J28" s="87">
        <f t="shared" si="10"/>
        <v>252.46081376235946</v>
      </c>
      <c r="K28" s="87">
        <f t="shared" si="10"/>
        <v>252.46081376235946</v>
      </c>
      <c r="L28" s="87">
        <f t="shared" si="11"/>
        <v>252.46081376235946</v>
      </c>
      <c r="M28" s="87">
        <v>381.173</v>
      </c>
      <c r="N28" s="87">
        <f t="shared" si="12"/>
        <v>257.99552215653915</v>
      </c>
      <c r="O28" s="87">
        <v>202.131</v>
      </c>
      <c r="P28" s="87">
        <v>202.131</v>
      </c>
      <c r="Q28" s="87">
        <f t="shared" si="13"/>
        <v>264.8092778317439</v>
      </c>
      <c r="R28" s="87">
        <v>256.275</v>
      </c>
    </row>
    <row r="29" spans="1:18" s="67" customFormat="1" ht="33.75">
      <c r="A29" s="85" t="s">
        <v>170</v>
      </c>
      <c r="B29" s="86" t="s">
        <v>171</v>
      </c>
      <c r="C29" s="87">
        <v>3866.64</v>
      </c>
      <c r="D29" s="87">
        <v>2198.937312</v>
      </c>
      <c r="E29" s="87">
        <v>2198.937312</v>
      </c>
      <c r="F29" s="87">
        <v>2198.937312</v>
      </c>
      <c r="G29" s="87">
        <v>2198.937312</v>
      </c>
      <c r="H29" s="87">
        <v>1931.988</v>
      </c>
      <c r="I29" s="87">
        <f t="shared" si="10"/>
        <v>2300.6539737004105</v>
      </c>
      <c r="J29" s="87">
        <f t="shared" si="10"/>
        <v>2300.6539737004105</v>
      </c>
      <c r="K29" s="87">
        <f t="shared" si="10"/>
        <v>2300.6539737004105</v>
      </c>
      <c r="L29" s="87">
        <f t="shared" si="11"/>
        <v>2300.6539737004105</v>
      </c>
      <c r="M29" s="87">
        <v>7594.0199999999995</v>
      </c>
      <c r="N29" s="87">
        <f t="shared" si="12"/>
        <v>2351.091301658675</v>
      </c>
      <c r="O29" s="87">
        <v>986.394</v>
      </c>
      <c r="P29" s="87">
        <v>986.394</v>
      </c>
      <c r="Q29" s="87">
        <f t="shared" si="13"/>
        <v>2413.1844789576253</v>
      </c>
      <c r="R29" s="87">
        <v>348.534</v>
      </c>
    </row>
    <row r="30" spans="1:18" s="67" customFormat="1" ht="22.5">
      <c r="A30" s="85" t="s">
        <v>172</v>
      </c>
      <c r="B30" s="86" t="s">
        <v>173</v>
      </c>
      <c r="C30" s="87">
        <v>25.231</v>
      </c>
      <c r="D30" s="87">
        <v>73.552</v>
      </c>
      <c r="E30" s="87">
        <v>73.552</v>
      </c>
      <c r="F30" s="87">
        <v>73.552</v>
      </c>
      <c r="G30" s="87">
        <v>73.552</v>
      </c>
      <c r="H30" s="87">
        <v>45.392</v>
      </c>
      <c r="I30" s="87">
        <f t="shared" si="10"/>
        <v>76.9543088609943</v>
      </c>
      <c r="J30" s="87">
        <f t="shared" si="10"/>
        <v>76.9543088609943</v>
      </c>
      <c r="K30" s="87">
        <f t="shared" si="10"/>
        <v>76.9543088609943</v>
      </c>
      <c r="L30" s="87">
        <f t="shared" si="11"/>
        <v>76.9543088609943</v>
      </c>
      <c r="M30" s="87">
        <v>49.938</v>
      </c>
      <c r="N30" s="87">
        <f t="shared" si="12"/>
        <v>78.64138121441766</v>
      </c>
      <c r="O30" s="87">
        <v>103.191</v>
      </c>
      <c r="P30" s="87">
        <v>103.191</v>
      </c>
      <c r="Q30" s="87">
        <f t="shared" si="13"/>
        <v>80.71832872527621</v>
      </c>
      <c r="R30" s="87">
        <v>48.749</v>
      </c>
    </row>
    <row r="31" spans="1:18" s="67" customFormat="1" ht="22.5">
      <c r="A31" s="85" t="s">
        <v>174</v>
      </c>
      <c r="B31" s="86" t="s">
        <v>175</v>
      </c>
      <c r="C31" s="87">
        <v>110.682</v>
      </c>
      <c r="D31" s="87">
        <v>249.6</v>
      </c>
      <c r="E31" s="87">
        <v>249.6</v>
      </c>
      <c r="F31" s="87">
        <v>249.6</v>
      </c>
      <c r="G31" s="87">
        <v>249.6</v>
      </c>
      <c r="H31" s="87">
        <v>130.914</v>
      </c>
      <c r="I31" s="87">
        <f t="shared" si="10"/>
        <v>261.14579469904527</v>
      </c>
      <c r="J31" s="87">
        <f t="shared" si="10"/>
        <v>261.14579469904527</v>
      </c>
      <c r="K31" s="87">
        <f t="shared" si="10"/>
        <v>261.14579469904527</v>
      </c>
      <c r="L31" s="87">
        <f t="shared" si="11"/>
        <v>261.14579469904527</v>
      </c>
      <c r="M31" s="87">
        <v>726.387</v>
      </c>
      <c r="N31" s="87">
        <f t="shared" si="12"/>
        <v>266.8709042734208</v>
      </c>
      <c r="O31" s="87">
        <v>761.496</v>
      </c>
      <c r="P31" s="87">
        <v>761.496</v>
      </c>
      <c r="Q31" s="87">
        <f t="shared" si="13"/>
        <v>273.91906202182054</v>
      </c>
      <c r="R31" s="87">
        <v>735.493</v>
      </c>
    </row>
    <row r="32" spans="1:18" s="67" customFormat="1" ht="22.5">
      <c r="A32" s="85" t="s">
        <v>176</v>
      </c>
      <c r="B32" s="86" t="s">
        <v>177</v>
      </c>
      <c r="C32" s="87">
        <v>1938.403</v>
      </c>
      <c r="D32" s="87">
        <v>804.0764160000001</v>
      </c>
      <c r="E32" s="87">
        <v>804.0764160000001</v>
      </c>
      <c r="F32" s="87">
        <v>804.0764160000001</v>
      </c>
      <c r="G32" s="87">
        <v>804.0764160000001</v>
      </c>
      <c r="H32" s="87">
        <v>1033.979</v>
      </c>
      <c r="I32" s="87">
        <f t="shared" si="10"/>
        <v>841.2707317911864</v>
      </c>
      <c r="J32" s="87">
        <f t="shared" si="10"/>
        <v>841.2707317911864</v>
      </c>
      <c r="K32" s="87">
        <f t="shared" si="10"/>
        <v>841.2707317911864</v>
      </c>
      <c r="L32" s="87">
        <f t="shared" si="11"/>
        <v>841.2707317911864</v>
      </c>
      <c r="M32" s="87">
        <v>992.1869999999999</v>
      </c>
      <c r="N32" s="87">
        <f t="shared" si="12"/>
        <v>859.7139432806543</v>
      </c>
      <c r="O32" s="87">
        <v>944.769</v>
      </c>
      <c r="P32" s="87">
        <v>944.769</v>
      </c>
      <c r="Q32" s="87">
        <f t="shared" si="13"/>
        <v>882.419301540814</v>
      </c>
      <c r="R32" s="87">
        <v>995.355</v>
      </c>
    </row>
    <row r="33" spans="1:18" s="67" customFormat="1" ht="11.25">
      <c r="A33" s="85" t="s">
        <v>178</v>
      </c>
      <c r="B33" s="86" t="s">
        <v>179</v>
      </c>
      <c r="C33" s="87">
        <v>918.39</v>
      </c>
      <c r="D33" s="87">
        <v>1645.959</v>
      </c>
      <c r="E33" s="87">
        <v>1645.959</v>
      </c>
      <c r="F33" s="87">
        <v>1645.959</v>
      </c>
      <c r="G33" s="87">
        <v>1645.959</v>
      </c>
      <c r="H33" s="87">
        <v>787.405</v>
      </c>
      <c r="I33" s="87">
        <f t="shared" si="10"/>
        <v>1722.0964386900876</v>
      </c>
      <c r="J33" s="87">
        <f t="shared" si="10"/>
        <v>1722.0964386900876</v>
      </c>
      <c r="K33" s="87">
        <f t="shared" si="10"/>
        <v>1722.0964386900876</v>
      </c>
      <c r="L33" s="87">
        <f t="shared" si="11"/>
        <v>1722.0964386900876</v>
      </c>
      <c r="M33" s="87">
        <v>917.3489999999999</v>
      </c>
      <c r="N33" s="87">
        <f t="shared" si="12"/>
        <v>1759.8500269510237</v>
      </c>
      <c r="O33" s="87">
        <v>931.427</v>
      </c>
      <c r="P33" s="87">
        <v>917.143</v>
      </c>
      <c r="Q33" s="87">
        <f t="shared" si="13"/>
        <v>1806.3283069165614</v>
      </c>
      <c r="R33" s="87">
        <v>1203.182</v>
      </c>
    </row>
    <row r="34" spans="1:18" s="67" customFormat="1" ht="22.5">
      <c r="A34" s="85" t="s">
        <v>180</v>
      </c>
      <c r="B34" s="86" t="s">
        <v>181</v>
      </c>
      <c r="C34" s="87">
        <v>14.602</v>
      </c>
      <c r="D34" s="87">
        <v>0</v>
      </c>
      <c r="E34" s="87">
        <v>0</v>
      </c>
      <c r="F34" s="87">
        <v>0</v>
      </c>
      <c r="G34" s="87">
        <v>0</v>
      </c>
      <c r="H34" s="87">
        <v>3.145</v>
      </c>
      <c r="I34" s="87">
        <f t="shared" si="10"/>
        <v>0</v>
      </c>
      <c r="J34" s="87">
        <f t="shared" si="10"/>
        <v>0</v>
      </c>
      <c r="K34" s="87">
        <f t="shared" si="10"/>
        <v>0</v>
      </c>
      <c r="L34" s="87">
        <f t="shared" si="11"/>
        <v>0</v>
      </c>
      <c r="M34" s="87"/>
      <c r="N34" s="87">
        <f t="shared" si="12"/>
        <v>0</v>
      </c>
      <c r="O34" s="87"/>
      <c r="P34" s="87"/>
      <c r="Q34" s="87">
        <f t="shared" si="13"/>
        <v>0</v>
      </c>
      <c r="R34" s="87"/>
    </row>
    <row r="35" spans="1:18" s="67" customFormat="1" ht="11.25">
      <c r="A35" s="73" t="s">
        <v>182</v>
      </c>
      <c r="B35" s="84" t="s">
        <v>183</v>
      </c>
      <c r="C35" s="75">
        <f aca="true" t="shared" si="14" ref="C35:K35">SUM(C36:C40)</f>
        <v>26823.07</v>
      </c>
      <c r="D35" s="75">
        <f t="shared" si="14"/>
        <v>26807.453392000003</v>
      </c>
      <c r="E35" s="75">
        <f t="shared" si="14"/>
        <v>26807.453392000003</v>
      </c>
      <c r="F35" s="75">
        <f t="shared" si="14"/>
        <v>26807.453392000003</v>
      </c>
      <c r="G35" s="75">
        <f t="shared" si="14"/>
        <v>26807.453392000003</v>
      </c>
      <c r="H35" s="75">
        <f t="shared" si="14"/>
        <v>31306.394999999997</v>
      </c>
      <c r="I35" s="75">
        <f t="shared" si="14"/>
        <v>28047.490865029875</v>
      </c>
      <c r="J35" s="75">
        <f t="shared" si="14"/>
        <v>28047.490865029875</v>
      </c>
      <c r="K35" s="75">
        <f t="shared" si="14"/>
        <v>28047.490865029875</v>
      </c>
      <c r="L35" s="75">
        <f aca="true" t="shared" si="15" ref="L35:R35">SUM(L36:L42)</f>
        <v>28047.490865029875</v>
      </c>
      <c r="M35" s="75">
        <f t="shared" si="15"/>
        <v>30848.098</v>
      </c>
      <c r="N35" s="75">
        <f t="shared" si="15"/>
        <v>28662.377115347044</v>
      </c>
      <c r="O35" s="75">
        <f t="shared" si="15"/>
        <v>32862.251000000004</v>
      </c>
      <c r="P35" s="75">
        <f t="shared" si="15"/>
        <v>32848.488000000005</v>
      </c>
      <c r="Q35" s="75">
        <f t="shared" si="15"/>
        <v>29419.360930810544</v>
      </c>
      <c r="R35" s="75">
        <f t="shared" si="15"/>
        <v>30471.471000000005</v>
      </c>
    </row>
    <row r="36" spans="1:18" s="67" customFormat="1" ht="11.25">
      <c r="A36" s="85" t="s">
        <v>184</v>
      </c>
      <c r="B36" s="86" t="s">
        <v>185</v>
      </c>
      <c r="C36" s="87">
        <v>23236.442</v>
      </c>
      <c r="D36" s="87">
        <v>23272.089984000002</v>
      </c>
      <c r="E36" s="87">
        <v>23272.089984000002</v>
      </c>
      <c r="F36" s="87">
        <v>23272.089984000002</v>
      </c>
      <c r="G36" s="87">
        <v>23272.089984000002</v>
      </c>
      <c r="H36" s="87">
        <v>28180.643</v>
      </c>
      <c r="I36" s="87">
        <f aca="true" t="shared" si="16" ref="I36:K41">D36*$J$4</f>
        <v>24348.59147908402</v>
      </c>
      <c r="J36" s="87">
        <f t="shared" si="16"/>
        <v>24348.59147908402</v>
      </c>
      <c r="K36" s="87">
        <f t="shared" si="16"/>
        <v>24348.59147908402</v>
      </c>
      <c r="L36" s="87">
        <f aca="true" t="shared" si="17" ref="L36:L41">G36*$L$4</f>
        <v>24348.59147908402</v>
      </c>
      <c r="M36" s="87">
        <v>25676.433</v>
      </c>
      <c r="N36" s="87">
        <f aca="true" t="shared" si="18" ref="N36:N41">L36*$N$4</f>
        <v>24882.386612029248</v>
      </c>
      <c r="O36" s="87">
        <v>28653.702</v>
      </c>
      <c r="P36" s="87">
        <v>28653.702</v>
      </c>
      <c r="Q36" s="87">
        <f aca="true" t="shared" si="19" ref="Q36:Q41">N36*$Q$4</f>
        <v>25539.539502021973</v>
      </c>
      <c r="R36" s="87">
        <v>28040.241</v>
      </c>
    </row>
    <row r="37" spans="1:18" s="67" customFormat="1" ht="22.5">
      <c r="A37" s="85" t="s">
        <v>186</v>
      </c>
      <c r="B37" s="86" t="s">
        <v>187</v>
      </c>
      <c r="C37" s="87">
        <v>946.296</v>
      </c>
      <c r="D37" s="87">
        <v>1869.2593920000002</v>
      </c>
      <c r="E37" s="87">
        <v>1869.2593920000002</v>
      </c>
      <c r="F37" s="87">
        <v>1869.2593920000002</v>
      </c>
      <c r="G37" s="87">
        <v>1869.2593920000002</v>
      </c>
      <c r="H37" s="87">
        <v>1198.458</v>
      </c>
      <c r="I37" s="87">
        <f t="shared" si="16"/>
        <v>1955.726079417044</v>
      </c>
      <c r="J37" s="87">
        <f t="shared" si="16"/>
        <v>1955.726079417044</v>
      </c>
      <c r="K37" s="87">
        <f t="shared" si="16"/>
        <v>1955.726079417044</v>
      </c>
      <c r="L37" s="87">
        <f t="shared" si="17"/>
        <v>1955.726079417044</v>
      </c>
      <c r="M37" s="87">
        <v>1714.2019999999998</v>
      </c>
      <c r="N37" s="87">
        <f t="shared" si="18"/>
        <v>1998.6015395217341</v>
      </c>
      <c r="O37" s="87">
        <v>1402.022</v>
      </c>
      <c r="P37" s="87">
        <v>1402.022</v>
      </c>
      <c r="Q37" s="87">
        <f t="shared" si="19"/>
        <v>2051.3853338626545</v>
      </c>
      <c r="R37" s="87">
        <v>594.27</v>
      </c>
    </row>
    <row r="38" spans="1:18" s="67" customFormat="1" ht="22.5">
      <c r="A38" s="85" t="s">
        <v>188</v>
      </c>
      <c r="B38" s="86" t="s">
        <v>189</v>
      </c>
      <c r="C38" s="87">
        <v>1512.698</v>
      </c>
      <c r="D38" s="87">
        <v>802.346688</v>
      </c>
      <c r="E38" s="87">
        <v>802.346688</v>
      </c>
      <c r="F38" s="87">
        <v>802.346688</v>
      </c>
      <c r="G38" s="87">
        <v>802.346688</v>
      </c>
      <c r="H38" s="87">
        <v>1011.841</v>
      </c>
      <c r="I38" s="87">
        <f t="shared" si="16"/>
        <v>839.4609914339219</v>
      </c>
      <c r="J38" s="87">
        <f t="shared" si="16"/>
        <v>839.4609914339219</v>
      </c>
      <c r="K38" s="87">
        <f t="shared" si="16"/>
        <v>839.4609914339219</v>
      </c>
      <c r="L38" s="87">
        <f t="shared" si="17"/>
        <v>839.4609914339219</v>
      </c>
      <c r="M38" s="87">
        <v>1534.9769999999999</v>
      </c>
      <c r="N38" s="87">
        <f t="shared" si="18"/>
        <v>857.8645279140394</v>
      </c>
      <c r="O38" s="87">
        <v>646.05</v>
      </c>
      <c r="P38" s="87">
        <v>631.7950000000001</v>
      </c>
      <c r="Q38" s="87">
        <f t="shared" si="19"/>
        <v>880.5210424410027</v>
      </c>
      <c r="R38" s="87">
        <v>417.344</v>
      </c>
    </row>
    <row r="39" spans="1:18" s="67" customFormat="1" ht="33.75">
      <c r="A39" s="85" t="s">
        <v>190</v>
      </c>
      <c r="B39" s="86" t="s">
        <v>191</v>
      </c>
      <c r="C39" s="87">
        <v>18.594</v>
      </c>
      <c r="D39" s="87">
        <v>362.929</v>
      </c>
      <c r="E39" s="87">
        <v>362.929</v>
      </c>
      <c r="F39" s="87">
        <v>362.929</v>
      </c>
      <c r="G39" s="87">
        <v>362.929</v>
      </c>
      <c r="H39" s="87">
        <v>37.354</v>
      </c>
      <c r="I39" s="87">
        <f t="shared" si="16"/>
        <v>379.717075818629</v>
      </c>
      <c r="J39" s="87">
        <f t="shared" si="16"/>
        <v>379.717075818629</v>
      </c>
      <c r="K39" s="87">
        <f t="shared" si="16"/>
        <v>379.717075818629</v>
      </c>
      <c r="L39" s="87">
        <f t="shared" si="17"/>
        <v>379.717075818629</v>
      </c>
      <c r="M39" s="87"/>
      <c r="N39" s="87">
        <f t="shared" si="18"/>
        <v>388.0416282734309</v>
      </c>
      <c r="O39" s="87">
        <v>0</v>
      </c>
      <c r="P39" s="87">
        <v>0</v>
      </c>
      <c r="Q39" s="87">
        <f t="shared" si="19"/>
        <v>398.28994896040587</v>
      </c>
      <c r="R39" s="87">
        <v>0</v>
      </c>
    </row>
    <row r="40" spans="1:18" s="67" customFormat="1" ht="22.5">
      <c r="A40" s="85" t="s">
        <v>192</v>
      </c>
      <c r="B40" s="86" t="s">
        <v>193</v>
      </c>
      <c r="C40" s="87">
        <v>1109.04</v>
      </c>
      <c r="D40" s="87">
        <v>500.82832800000006</v>
      </c>
      <c r="E40" s="87">
        <v>500.82832800000006</v>
      </c>
      <c r="F40" s="87">
        <v>500.82832800000006</v>
      </c>
      <c r="G40" s="87">
        <v>500.82832800000006</v>
      </c>
      <c r="H40" s="87">
        <v>878.099</v>
      </c>
      <c r="I40" s="87">
        <f t="shared" si="16"/>
        <v>523.9952392762585</v>
      </c>
      <c r="J40" s="87">
        <f t="shared" si="16"/>
        <v>523.9952392762585</v>
      </c>
      <c r="K40" s="87">
        <f t="shared" si="16"/>
        <v>523.9952392762585</v>
      </c>
      <c r="L40" s="87">
        <f t="shared" si="17"/>
        <v>523.9952392762585</v>
      </c>
      <c r="M40" s="87">
        <v>1922.486</v>
      </c>
      <c r="N40" s="87">
        <f t="shared" si="18"/>
        <v>535.4828076085955</v>
      </c>
      <c r="O40" s="87">
        <v>2160.477</v>
      </c>
      <c r="P40" s="87">
        <v>2160.476</v>
      </c>
      <c r="Q40" s="87">
        <f t="shared" si="19"/>
        <v>549.625103524506</v>
      </c>
      <c r="R40" s="87">
        <v>1419.616</v>
      </c>
    </row>
    <row r="41" spans="1:18" s="67" customFormat="1" ht="22.5">
      <c r="A41" s="85" t="s">
        <v>194</v>
      </c>
      <c r="B41" s="86"/>
      <c r="C41" s="87">
        <v>0</v>
      </c>
      <c r="D41" s="87">
        <v>0</v>
      </c>
      <c r="E41" s="87">
        <v>0</v>
      </c>
      <c r="F41" s="87">
        <v>0</v>
      </c>
      <c r="G41" s="87">
        <v>0</v>
      </c>
      <c r="H41" s="87"/>
      <c r="I41" s="87">
        <f t="shared" si="16"/>
        <v>0</v>
      </c>
      <c r="J41" s="87">
        <f t="shared" si="16"/>
        <v>0</v>
      </c>
      <c r="K41" s="87">
        <f t="shared" si="16"/>
        <v>0</v>
      </c>
      <c r="L41" s="87">
        <f t="shared" si="17"/>
        <v>0</v>
      </c>
      <c r="M41" s="87"/>
      <c r="N41" s="87">
        <f t="shared" si="18"/>
        <v>0</v>
      </c>
      <c r="O41" s="87"/>
      <c r="P41" s="87"/>
      <c r="Q41" s="87">
        <f t="shared" si="19"/>
        <v>0</v>
      </c>
      <c r="R41" s="87"/>
    </row>
    <row r="42" spans="1:18" s="67" customFormat="1" ht="11.25">
      <c r="A42" s="85" t="s">
        <v>931</v>
      </c>
      <c r="B42" s="86" t="s">
        <v>932</v>
      </c>
      <c r="C42" s="87"/>
      <c r="D42" s="87"/>
      <c r="E42" s="87"/>
      <c r="F42" s="87"/>
      <c r="G42" s="87"/>
      <c r="H42" s="87"/>
      <c r="I42" s="87"/>
      <c r="J42" s="87"/>
      <c r="K42" s="87"/>
      <c r="L42" s="87"/>
      <c r="M42" s="87"/>
      <c r="N42" s="87"/>
      <c r="O42" s="87">
        <v>0</v>
      </c>
      <c r="P42" s="87">
        <v>0.493</v>
      </c>
      <c r="Q42" s="87"/>
      <c r="R42" s="87"/>
    </row>
    <row r="43" spans="1:18" s="67" customFormat="1" ht="11.25">
      <c r="A43" s="73" t="s">
        <v>195</v>
      </c>
      <c r="B43" s="84" t="s">
        <v>196</v>
      </c>
      <c r="C43" s="75">
        <f>SUM(C44:C55)</f>
        <v>20005.958</v>
      </c>
      <c r="D43" s="75">
        <f aca="true" t="shared" si="20" ref="D43:R43">SUM(D44:D55)</f>
        <v>23496.266999167554</v>
      </c>
      <c r="E43" s="75">
        <f t="shared" si="20"/>
        <v>23496.266999167554</v>
      </c>
      <c r="F43" s="75">
        <f t="shared" si="20"/>
        <v>23496.266999167554</v>
      </c>
      <c r="G43" s="75">
        <f>SUM(G44:G54)</f>
        <v>23496.266999167554</v>
      </c>
      <c r="H43" s="75">
        <f t="shared" si="20"/>
        <v>24579.24</v>
      </c>
      <c r="I43" s="75">
        <f t="shared" si="20"/>
        <v>24583.13829310321</v>
      </c>
      <c r="J43" s="75">
        <f t="shared" si="20"/>
        <v>24583.13829310321</v>
      </c>
      <c r="K43" s="75">
        <f t="shared" si="20"/>
        <v>24583.13829310321</v>
      </c>
      <c r="L43" s="75">
        <f>SUM(L44:L54)</f>
        <v>24583.13829310321</v>
      </c>
      <c r="M43" s="75">
        <f t="shared" si="20"/>
        <v>26500.225000000006</v>
      </c>
      <c r="N43" s="75">
        <f t="shared" si="20"/>
        <v>25122.075405118507</v>
      </c>
      <c r="O43" s="75">
        <f t="shared" si="20"/>
        <v>31388.792999999998</v>
      </c>
      <c r="P43" s="75">
        <f t="shared" si="20"/>
        <v>30672.492000000002</v>
      </c>
      <c r="Q43" s="75">
        <f t="shared" si="20"/>
        <v>25785.558563406375</v>
      </c>
      <c r="R43" s="75">
        <f t="shared" si="20"/>
        <v>25734.773000000005</v>
      </c>
    </row>
    <row r="44" spans="1:18" s="67" customFormat="1" ht="11.25">
      <c r="A44" s="85" t="s">
        <v>197</v>
      </c>
      <c r="B44" s="86" t="s">
        <v>198</v>
      </c>
      <c r="C44" s="87">
        <v>2180.448</v>
      </c>
      <c r="D44" s="87">
        <v>3289.292213615022</v>
      </c>
      <c r="E44" s="87">
        <v>3289.292213615022</v>
      </c>
      <c r="F44" s="87">
        <v>3289.292213615022</v>
      </c>
      <c r="G44" s="87">
        <v>3289.292213615022</v>
      </c>
      <c r="H44" s="87">
        <v>2611.222</v>
      </c>
      <c r="I44" s="87">
        <f aca="true" t="shared" si="21" ref="I44:K54">D44*$J$4</f>
        <v>3441.445629494698</v>
      </c>
      <c r="J44" s="87">
        <f t="shared" si="21"/>
        <v>3441.445629494698</v>
      </c>
      <c r="K44" s="87">
        <f t="shared" si="21"/>
        <v>3441.445629494698</v>
      </c>
      <c r="L44" s="87">
        <f aca="true" t="shared" si="22" ref="L44:L54">G44*$L$4</f>
        <v>3441.445629494698</v>
      </c>
      <c r="M44" s="87">
        <v>3067.191</v>
      </c>
      <c r="N44" s="87">
        <f aca="true" t="shared" si="23" ref="N44:N54">L44*$N$4</f>
        <v>3516.8925779926403</v>
      </c>
      <c r="O44" s="87">
        <v>2897.481</v>
      </c>
      <c r="P44" s="87">
        <v>2897.333</v>
      </c>
      <c r="Q44" s="87">
        <f aca="true" t="shared" si="24" ref="Q44:Q54">N44*$Q$4</f>
        <v>3609.7749914627584</v>
      </c>
      <c r="R44" s="87">
        <v>3117.098</v>
      </c>
    </row>
    <row r="45" spans="1:18" s="67" customFormat="1" ht="22.5">
      <c r="A45" s="85" t="s">
        <v>199</v>
      </c>
      <c r="B45" s="86" t="s">
        <v>200</v>
      </c>
      <c r="C45" s="87">
        <v>10966.312</v>
      </c>
      <c r="D45" s="87">
        <v>9894.570794063427</v>
      </c>
      <c r="E45" s="87">
        <v>9894.570794063427</v>
      </c>
      <c r="F45" s="87">
        <v>9894.570794063427</v>
      </c>
      <c r="G45" s="87">
        <v>9894.570794063427</v>
      </c>
      <c r="H45" s="87">
        <v>14555.871</v>
      </c>
      <c r="I45" s="87">
        <f t="shared" si="21"/>
        <v>10352.265838227793</v>
      </c>
      <c r="J45" s="87">
        <f t="shared" si="21"/>
        <v>10352.265838227793</v>
      </c>
      <c r="K45" s="87">
        <f t="shared" si="21"/>
        <v>10352.265838227793</v>
      </c>
      <c r="L45" s="87">
        <f t="shared" si="22"/>
        <v>10352.265838227793</v>
      </c>
      <c r="M45" s="87">
        <v>13621.651</v>
      </c>
      <c r="N45" s="87">
        <f t="shared" si="23"/>
        <v>10579.21897119025</v>
      </c>
      <c r="O45" s="87">
        <v>12786.494</v>
      </c>
      <c r="P45" s="87">
        <v>12658.335000000001</v>
      </c>
      <c r="Q45" s="87">
        <f t="shared" si="24"/>
        <v>10858.619996067124</v>
      </c>
      <c r="R45" s="87">
        <v>11935.455</v>
      </c>
    </row>
    <row r="46" spans="1:18" s="67" customFormat="1" ht="22.5">
      <c r="A46" s="85" t="s">
        <v>201</v>
      </c>
      <c r="B46" s="86" t="s">
        <v>202</v>
      </c>
      <c r="C46" s="87">
        <v>202.38</v>
      </c>
      <c r="D46" s="87">
        <v>317.435</v>
      </c>
      <c r="E46" s="87">
        <v>317.435</v>
      </c>
      <c r="F46" s="87">
        <v>317.435</v>
      </c>
      <c r="G46" s="87">
        <v>317.435</v>
      </c>
      <c r="H46" s="87">
        <v>214.278</v>
      </c>
      <c r="I46" s="87">
        <f t="shared" si="21"/>
        <v>332.1186512030907</v>
      </c>
      <c r="J46" s="87">
        <f t="shared" si="21"/>
        <v>332.1186512030907</v>
      </c>
      <c r="K46" s="87">
        <f t="shared" si="21"/>
        <v>332.1186512030907</v>
      </c>
      <c r="L46" s="87">
        <f t="shared" si="22"/>
        <v>332.1186512030907</v>
      </c>
      <c r="M46" s="87">
        <v>226.29500000000002</v>
      </c>
      <c r="N46" s="87">
        <f t="shared" si="23"/>
        <v>339.3997015145566</v>
      </c>
      <c r="O46" s="87">
        <v>236.79</v>
      </c>
      <c r="P46" s="87">
        <v>232.63</v>
      </c>
      <c r="Q46" s="87">
        <f t="shared" si="24"/>
        <v>348.3633712055152</v>
      </c>
      <c r="R46" s="87">
        <v>243.848</v>
      </c>
    </row>
    <row r="47" spans="1:18" s="67" customFormat="1" ht="22.5">
      <c r="A47" s="88" t="s">
        <v>203</v>
      </c>
      <c r="B47" s="89" t="s">
        <v>204</v>
      </c>
      <c r="C47" s="87">
        <v>270.106</v>
      </c>
      <c r="D47" s="87">
        <v>1540.99</v>
      </c>
      <c r="E47" s="87">
        <v>1540.99</v>
      </c>
      <c r="F47" s="87">
        <v>1540.99</v>
      </c>
      <c r="G47" s="87">
        <v>1540.99</v>
      </c>
      <c r="H47" s="87">
        <v>250.432</v>
      </c>
      <c r="I47" s="87">
        <f t="shared" si="21"/>
        <v>1612.2718676814172</v>
      </c>
      <c r="J47" s="87">
        <f t="shared" si="21"/>
        <v>1612.2718676814172</v>
      </c>
      <c r="K47" s="87">
        <f t="shared" si="21"/>
        <v>1612.2718676814172</v>
      </c>
      <c r="L47" s="87">
        <f t="shared" si="22"/>
        <v>1612.2718676814172</v>
      </c>
      <c r="M47" s="87">
        <v>256.73900000000003</v>
      </c>
      <c r="N47" s="87">
        <f t="shared" si="23"/>
        <v>1647.617767533248</v>
      </c>
      <c r="O47" s="87">
        <v>222.921</v>
      </c>
      <c r="P47" s="87">
        <v>220.841</v>
      </c>
      <c r="Q47" s="87">
        <f t="shared" si="24"/>
        <v>1691.1319526642835</v>
      </c>
      <c r="R47" s="87">
        <v>408.788</v>
      </c>
    </row>
    <row r="48" spans="1:18" s="67" customFormat="1" ht="11.25">
      <c r="A48" s="85" t="s">
        <v>205</v>
      </c>
      <c r="B48" s="86" t="s">
        <v>206</v>
      </c>
      <c r="C48" s="87">
        <v>166.201</v>
      </c>
      <c r="D48" s="87">
        <v>535.63</v>
      </c>
      <c r="E48" s="87">
        <v>535.63</v>
      </c>
      <c r="F48" s="87">
        <v>535.63</v>
      </c>
      <c r="G48" s="87">
        <v>535.63</v>
      </c>
      <c r="H48" s="87">
        <v>159.174</v>
      </c>
      <c r="I48" s="87">
        <f t="shared" si="21"/>
        <v>560.4067388407436</v>
      </c>
      <c r="J48" s="87">
        <f t="shared" si="21"/>
        <v>560.4067388407436</v>
      </c>
      <c r="K48" s="87">
        <f t="shared" si="21"/>
        <v>560.4067388407436</v>
      </c>
      <c r="L48" s="87">
        <f t="shared" si="22"/>
        <v>560.4067388407436</v>
      </c>
      <c r="M48" s="87">
        <v>315.772</v>
      </c>
      <c r="N48" s="87">
        <f t="shared" si="23"/>
        <v>572.6925579165561</v>
      </c>
      <c r="O48" s="87">
        <v>420.477</v>
      </c>
      <c r="P48" s="87">
        <v>413.88100000000003</v>
      </c>
      <c r="Q48" s="87">
        <f t="shared" si="24"/>
        <v>587.8175768860085</v>
      </c>
      <c r="R48" s="87">
        <v>114.075</v>
      </c>
    </row>
    <row r="49" spans="1:18" s="67" customFormat="1" ht="22.5">
      <c r="A49" s="88" t="s">
        <v>207</v>
      </c>
      <c r="B49" s="89" t="s">
        <v>208</v>
      </c>
      <c r="C49" s="87">
        <v>156.901</v>
      </c>
      <c r="D49" s="87">
        <v>1341.82</v>
      </c>
      <c r="E49" s="87">
        <v>1341.82</v>
      </c>
      <c r="F49" s="87">
        <v>1341.82</v>
      </c>
      <c r="G49" s="87">
        <v>1341.82</v>
      </c>
      <c r="H49" s="87">
        <v>245.428</v>
      </c>
      <c r="I49" s="87">
        <f t="shared" si="21"/>
        <v>1403.8888230892344</v>
      </c>
      <c r="J49" s="87">
        <f t="shared" si="21"/>
        <v>1403.8888230892344</v>
      </c>
      <c r="K49" s="87">
        <f t="shared" si="21"/>
        <v>1403.8888230892344</v>
      </c>
      <c r="L49" s="87">
        <f t="shared" si="22"/>
        <v>1403.8888230892344</v>
      </c>
      <c r="M49" s="87">
        <v>231.151</v>
      </c>
      <c r="N49" s="87">
        <f t="shared" si="23"/>
        <v>1434.6663332218009</v>
      </c>
      <c r="O49" s="87">
        <v>390.1</v>
      </c>
      <c r="P49" s="87">
        <v>383.895</v>
      </c>
      <c r="Q49" s="87">
        <f t="shared" si="24"/>
        <v>1472.5563934379775</v>
      </c>
      <c r="R49" s="87">
        <v>237.694</v>
      </c>
    </row>
    <row r="50" spans="1:18" s="67" customFormat="1" ht="11.25">
      <c r="A50" s="85" t="s">
        <v>209</v>
      </c>
      <c r="B50" s="86" t="s">
        <v>210</v>
      </c>
      <c r="C50" s="87">
        <v>1182.669</v>
      </c>
      <c r="D50" s="87">
        <v>1882.66</v>
      </c>
      <c r="E50" s="87">
        <v>1882.66</v>
      </c>
      <c r="F50" s="87">
        <v>1882.66</v>
      </c>
      <c r="G50" s="87">
        <v>1882.66</v>
      </c>
      <c r="H50" s="87">
        <v>522.721</v>
      </c>
      <c r="I50" s="87">
        <f t="shared" si="21"/>
        <v>1969.7465618914446</v>
      </c>
      <c r="J50" s="87">
        <f t="shared" si="21"/>
        <v>1969.7465618914446</v>
      </c>
      <c r="K50" s="87">
        <f t="shared" si="21"/>
        <v>1969.7465618914446</v>
      </c>
      <c r="L50" s="87">
        <f t="shared" si="22"/>
        <v>1969.7465618914446</v>
      </c>
      <c r="M50" s="87">
        <v>1058.4180000000001</v>
      </c>
      <c r="N50" s="87">
        <f t="shared" si="23"/>
        <v>2012.9293935873336</v>
      </c>
      <c r="O50" s="87">
        <v>1070.617</v>
      </c>
      <c r="P50" s="87">
        <v>1050.583</v>
      </c>
      <c r="Q50" s="87">
        <f t="shared" si="24"/>
        <v>2066.0915917708357</v>
      </c>
      <c r="R50" s="87">
        <v>595.393</v>
      </c>
    </row>
    <row r="51" spans="1:18" s="67" customFormat="1" ht="11.25">
      <c r="A51" s="85" t="s">
        <v>211</v>
      </c>
      <c r="B51" s="86" t="s">
        <v>212</v>
      </c>
      <c r="C51" s="87">
        <v>583.999</v>
      </c>
      <c r="D51" s="87">
        <v>1267.021</v>
      </c>
      <c r="E51" s="87">
        <v>1267.021</v>
      </c>
      <c r="F51" s="87">
        <v>1267.021</v>
      </c>
      <c r="G51" s="87">
        <v>1267.021</v>
      </c>
      <c r="H51" s="87">
        <v>800.609</v>
      </c>
      <c r="I51" s="87">
        <f t="shared" si="21"/>
        <v>1325.6298315119352</v>
      </c>
      <c r="J51" s="87">
        <f t="shared" si="21"/>
        <v>1325.6298315119352</v>
      </c>
      <c r="K51" s="87">
        <f t="shared" si="21"/>
        <v>1325.6298315119352</v>
      </c>
      <c r="L51" s="87">
        <f t="shared" si="22"/>
        <v>1325.6298315119352</v>
      </c>
      <c r="M51" s="87">
        <v>893.93</v>
      </c>
      <c r="N51" s="87">
        <f t="shared" si="23"/>
        <v>1354.6916666803443</v>
      </c>
      <c r="O51" s="87">
        <v>867.157</v>
      </c>
      <c r="P51" s="87">
        <v>857.8290000000001</v>
      </c>
      <c r="Q51" s="87">
        <f t="shared" si="24"/>
        <v>1390.4695668347317</v>
      </c>
      <c r="R51" s="87">
        <v>868.911</v>
      </c>
    </row>
    <row r="52" spans="1:18" s="67" customFormat="1" ht="33.75" customHeight="1">
      <c r="A52" s="85" t="s">
        <v>213</v>
      </c>
      <c r="B52" s="86" t="s">
        <v>214</v>
      </c>
      <c r="C52" s="87">
        <v>1318.168</v>
      </c>
      <c r="D52" s="87">
        <v>1068.84</v>
      </c>
      <c r="E52" s="87">
        <v>1068.84</v>
      </c>
      <c r="F52" s="87">
        <v>1068.84</v>
      </c>
      <c r="G52" s="87">
        <v>1068.84</v>
      </c>
      <c r="H52" s="87">
        <v>755.594</v>
      </c>
      <c r="I52" s="87">
        <f t="shared" si="21"/>
        <v>1118.2815352809596</v>
      </c>
      <c r="J52" s="87">
        <f t="shared" si="21"/>
        <v>1118.2815352809596</v>
      </c>
      <c r="K52" s="87">
        <f t="shared" si="21"/>
        <v>1118.2815352809596</v>
      </c>
      <c r="L52" s="87">
        <f t="shared" si="22"/>
        <v>1118.2815352809596</v>
      </c>
      <c r="M52" s="87">
        <v>1457.667</v>
      </c>
      <c r="N52" s="87">
        <f t="shared" si="23"/>
        <v>1142.7976655593072</v>
      </c>
      <c r="O52" s="87">
        <v>797.619</v>
      </c>
      <c r="P52" s="87">
        <v>792.0889999999999</v>
      </c>
      <c r="Q52" s="87">
        <f t="shared" si="24"/>
        <v>1172.9793679944014</v>
      </c>
      <c r="R52" s="87">
        <v>1848.152</v>
      </c>
    </row>
    <row r="53" spans="1:18" s="67" customFormat="1" ht="11.25">
      <c r="A53" s="85" t="s">
        <v>215</v>
      </c>
      <c r="B53" s="86" t="s">
        <v>216</v>
      </c>
      <c r="C53" s="87">
        <v>2978.774</v>
      </c>
      <c r="D53" s="87">
        <v>2358.0079914891016</v>
      </c>
      <c r="E53" s="87">
        <v>2358.0079914891016</v>
      </c>
      <c r="F53" s="87">
        <v>2358.0079914891016</v>
      </c>
      <c r="G53" s="87">
        <v>2358.0079914891016</v>
      </c>
      <c r="H53" s="87">
        <v>1958.978</v>
      </c>
      <c r="I53" s="87">
        <f t="shared" si="21"/>
        <v>2467.082815881895</v>
      </c>
      <c r="J53" s="87">
        <f t="shared" si="21"/>
        <v>2467.082815881895</v>
      </c>
      <c r="K53" s="87">
        <f t="shared" si="21"/>
        <v>2467.082815881895</v>
      </c>
      <c r="L53" s="87">
        <f t="shared" si="22"/>
        <v>2467.082815881895</v>
      </c>
      <c r="M53" s="87">
        <v>3786.755</v>
      </c>
      <c r="N53" s="87">
        <f t="shared" si="23"/>
        <v>2521.168769922473</v>
      </c>
      <c r="O53" s="87">
        <v>10753.601</v>
      </c>
      <c r="P53" s="87">
        <v>10229.657</v>
      </c>
      <c r="Q53" s="87">
        <f t="shared" si="24"/>
        <v>2587.7537550827387</v>
      </c>
      <c r="R53" s="87">
        <v>5821.922</v>
      </c>
    </row>
    <row r="54" spans="1:18" s="67" customFormat="1" ht="22.5">
      <c r="A54" s="85" t="s">
        <v>217</v>
      </c>
      <c r="B54" s="86" t="s">
        <v>218</v>
      </c>
      <c r="C54" s="87"/>
      <c r="D54" s="87">
        <v>0</v>
      </c>
      <c r="E54" s="87">
        <v>0</v>
      </c>
      <c r="F54" s="87">
        <v>0</v>
      </c>
      <c r="G54" s="87">
        <v>0</v>
      </c>
      <c r="H54" s="87">
        <v>2504.933</v>
      </c>
      <c r="I54" s="87">
        <f t="shared" si="21"/>
        <v>0</v>
      </c>
      <c r="J54" s="87">
        <f t="shared" si="21"/>
        <v>0</v>
      </c>
      <c r="K54" s="87">
        <f t="shared" si="21"/>
        <v>0</v>
      </c>
      <c r="L54" s="87">
        <f t="shared" si="22"/>
        <v>0</v>
      </c>
      <c r="M54" s="87">
        <v>1584.656</v>
      </c>
      <c r="N54" s="87">
        <f t="shared" si="23"/>
        <v>0</v>
      </c>
      <c r="O54" s="87">
        <v>530.258</v>
      </c>
      <c r="P54" s="87">
        <v>525.216</v>
      </c>
      <c r="Q54" s="87">
        <f t="shared" si="24"/>
        <v>0</v>
      </c>
      <c r="R54" s="87">
        <v>543.437</v>
      </c>
    </row>
    <row r="55" spans="1:18" s="67" customFormat="1" ht="22.5">
      <c r="A55" s="166" t="s">
        <v>933</v>
      </c>
      <c r="B55" s="86"/>
      <c r="C55" s="87"/>
      <c r="D55" s="87"/>
      <c r="E55" s="87"/>
      <c r="F55" s="87"/>
      <c r="G55" s="87"/>
      <c r="H55" s="87"/>
      <c r="I55" s="87"/>
      <c r="J55" s="87"/>
      <c r="K55" s="87"/>
      <c r="L55" s="87"/>
      <c r="M55" s="87"/>
      <c r="N55" s="87"/>
      <c r="O55" s="87">
        <v>415.278</v>
      </c>
      <c r="P55" s="87">
        <v>410.203</v>
      </c>
      <c r="Q55" s="87"/>
      <c r="R55" s="87">
        <v>0</v>
      </c>
    </row>
    <row r="56" spans="1:18" s="67" customFormat="1" ht="22.5">
      <c r="A56" s="73" t="s">
        <v>219</v>
      </c>
      <c r="B56" s="84" t="s">
        <v>220</v>
      </c>
      <c r="C56" s="75">
        <f aca="true" t="shared" si="25" ref="C56:R56">SUM(C57,C73,C75:C76)</f>
        <v>5653.032999999999</v>
      </c>
      <c r="D56" s="75">
        <f t="shared" si="25"/>
        <v>7598.0215806</v>
      </c>
      <c r="E56" s="75">
        <f t="shared" si="25"/>
        <v>7598.0215806</v>
      </c>
      <c r="F56" s="75">
        <f t="shared" si="25"/>
        <v>6186.2295806</v>
      </c>
      <c r="G56" s="75">
        <f t="shared" si="25"/>
        <v>7598.0215806</v>
      </c>
      <c r="H56" s="75">
        <f t="shared" si="25"/>
        <v>11121.391</v>
      </c>
      <c r="I56" s="75">
        <f t="shared" si="25"/>
        <v>7949.484710762352</v>
      </c>
      <c r="J56" s="75">
        <f t="shared" si="25"/>
        <v>7949.484710762352</v>
      </c>
      <c r="K56" s="75">
        <f t="shared" si="25"/>
        <v>6472.3871795534</v>
      </c>
      <c r="L56" s="75">
        <f t="shared" si="25"/>
        <v>7949.484710762352</v>
      </c>
      <c r="M56" s="75">
        <f t="shared" si="25"/>
        <v>21111.651</v>
      </c>
      <c r="N56" s="75">
        <f t="shared" si="25"/>
        <v>8123.761578139777</v>
      </c>
      <c r="O56" s="75">
        <f t="shared" si="25"/>
        <v>13283.365000000002</v>
      </c>
      <c r="P56" s="75">
        <f t="shared" si="25"/>
        <v>13274.442000000001</v>
      </c>
      <c r="Q56" s="75">
        <f t="shared" si="25"/>
        <v>8338.313079244801</v>
      </c>
      <c r="R56" s="75">
        <f t="shared" si="25"/>
        <v>17556.531</v>
      </c>
    </row>
    <row r="57" spans="1:18" s="67" customFormat="1" ht="22.5">
      <c r="A57" s="73" t="s">
        <v>221</v>
      </c>
      <c r="B57" s="84" t="s">
        <v>222</v>
      </c>
      <c r="C57" s="75">
        <f aca="true" t="shared" si="26" ref="C57:K57">SUM(C58,C66)</f>
        <v>3052.489</v>
      </c>
      <c r="D57" s="75">
        <f t="shared" si="26"/>
        <v>3997.925024</v>
      </c>
      <c r="E57" s="75">
        <f t="shared" si="26"/>
        <v>3997.925024</v>
      </c>
      <c r="F57" s="75">
        <f t="shared" si="26"/>
        <v>3997.925024</v>
      </c>
      <c r="G57" s="75">
        <f t="shared" si="26"/>
        <v>3997.925024</v>
      </c>
      <c r="H57" s="75">
        <f t="shared" si="26"/>
        <v>4936.316999999999</v>
      </c>
      <c r="I57" s="75">
        <f t="shared" si="26"/>
        <v>4182.857802642948</v>
      </c>
      <c r="J57" s="75">
        <f t="shared" si="26"/>
        <v>4182.857802642948</v>
      </c>
      <c r="K57" s="75">
        <f t="shared" si="26"/>
        <v>4182.857802642948</v>
      </c>
      <c r="L57" s="75">
        <f aca="true" t="shared" si="27" ref="L57:R57">SUM(L58,L66)</f>
        <v>4182.857802642948</v>
      </c>
      <c r="M57" s="75">
        <f t="shared" si="27"/>
        <v>4058.67</v>
      </c>
      <c r="N57" s="75">
        <f t="shared" si="27"/>
        <v>4274.558759504078</v>
      </c>
      <c r="O57" s="75">
        <f t="shared" si="27"/>
        <v>5329.429</v>
      </c>
      <c r="P57" s="75">
        <f t="shared" si="27"/>
        <v>5320.505</v>
      </c>
      <c r="Q57" s="75">
        <f t="shared" si="27"/>
        <v>4387.451412690883</v>
      </c>
      <c r="R57" s="75">
        <f t="shared" si="27"/>
        <v>11002.095</v>
      </c>
    </row>
    <row r="58" spans="1:18" s="67" customFormat="1" ht="11.25">
      <c r="A58" s="73" t="s">
        <v>223</v>
      </c>
      <c r="B58" s="84" t="s">
        <v>224</v>
      </c>
      <c r="C58" s="75">
        <f aca="true" t="shared" si="28" ref="C58:K58">SUM(C59:C65)</f>
        <v>1086.8220000000001</v>
      </c>
      <c r="D58" s="75">
        <f t="shared" si="28"/>
        <v>2038.3491200000003</v>
      </c>
      <c r="E58" s="75">
        <f t="shared" si="28"/>
        <v>2038.3491200000003</v>
      </c>
      <c r="F58" s="75">
        <f t="shared" si="28"/>
        <v>2038.3491200000003</v>
      </c>
      <c r="G58" s="75">
        <f t="shared" si="28"/>
        <v>2038.3491200000003</v>
      </c>
      <c r="H58" s="75">
        <f t="shared" si="28"/>
        <v>2212.9579999999996</v>
      </c>
      <c r="I58" s="75">
        <f t="shared" si="28"/>
        <v>2132.6374231430273</v>
      </c>
      <c r="J58" s="75">
        <f t="shared" si="28"/>
        <v>2132.6374231430273</v>
      </c>
      <c r="K58" s="75">
        <f t="shared" si="28"/>
        <v>2132.6374231430273</v>
      </c>
      <c r="L58" s="75">
        <f aca="true" t="shared" si="29" ref="L58:R58">SUM(L59:L65)</f>
        <v>2132.6374231430273</v>
      </c>
      <c r="M58" s="75">
        <f t="shared" si="29"/>
        <v>1219.043</v>
      </c>
      <c r="N58" s="75">
        <f t="shared" si="29"/>
        <v>2179.3913176255273</v>
      </c>
      <c r="O58" s="75">
        <f t="shared" si="29"/>
        <v>1392.731</v>
      </c>
      <c r="P58" s="75">
        <f t="shared" si="29"/>
        <v>1383.8059999999998</v>
      </c>
      <c r="Q58" s="75">
        <f t="shared" si="29"/>
        <v>2236.949835830943</v>
      </c>
      <c r="R58" s="75">
        <f t="shared" si="29"/>
        <v>3207.844</v>
      </c>
    </row>
    <row r="59" spans="1:18" s="67" customFormat="1" ht="22.5">
      <c r="A59" s="85" t="s">
        <v>225</v>
      </c>
      <c r="B59" s="86" t="s">
        <v>226</v>
      </c>
      <c r="C59" s="87">
        <v>217.689</v>
      </c>
      <c r="D59" s="87">
        <v>636.192</v>
      </c>
      <c r="E59" s="87">
        <v>636.192</v>
      </c>
      <c r="F59" s="87">
        <v>636.192</v>
      </c>
      <c r="G59" s="87">
        <v>636.192</v>
      </c>
      <c r="H59" s="87">
        <v>229.005</v>
      </c>
      <c r="I59" s="87">
        <f aca="true" t="shared" si="30" ref="I59:K61">D59*$J$4</f>
        <v>665.6204544117588</v>
      </c>
      <c r="J59" s="87">
        <f t="shared" si="30"/>
        <v>665.6204544117588</v>
      </c>
      <c r="K59" s="87">
        <f t="shared" si="30"/>
        <v>665.6204544117588</v>
      </c>
      <c r="L59" s="87">
        <f>G59*$L$4</f>
        <v>665.6204544117588</v>
      </c>
      <c r="M59" s="87">
        <v>224.387</v>
      </c>
      <c r="N59" s="87">
        <f>L59*$N$4</f>
        <v>680.2128779307537</v>
      </c>
      <c r="O59" s="87">
        <v>416.621</v>
      </c>
      <c r="P59" s="87">
        <v>409.716</v>
      </c>
      <c r="Q59" s="87">
        <f>N59*$Q$4</f>
        <v>698.1775476994633</v>
      </c>
      <c r="R59" s="87">
        <v>407.163</v>
      </c>
    </row>
    <row r="60" spans="1:18" s="67" customFormat="1" ht="33.75">
      <c r="A60" s="85" t="s">
        <v>227</v>
      </c>
      <c r="B60" s="86" t="s">
        <v>228</v>
      </c>
      <c r="C60" s="87">
        <v>149.338</v>
      </c>
      <c r="D60" s="87">
        <v>172.234</v>
      </c>
      <c r="E60" s="87">
        <v>172.234</v>
      </c>
      <c r="F60" s="87">
        <v>172.234</v>
      </c>
      <c r="G60" s="87">
        <v>172.234</v>
      </c>
      <c r="H60" s="87">
        <v>160.092</v>
      </c>
      <c r="I60" s="87">
        <f t="shared" si="30"/>
        <v>180.20106091424424</v>
      </c>
      <c r="J60" s="87">
        <f t="shared" si="30"/>
        <v>180.20106091424424</v>
      </c>
      <c r="K60" s="87">
        <f t="shared" si="30"/>
        <v>180.20106091424424</v>
      </c>
      <c r="L60" s="87">
        <f>G60*$L$4</f>
        <v>180.20106091424424</v>
      </c>
      <c r="M60" s="87">
        <v>180.5</v>
      </c>
      <c r="N60" s="87">
        <f>L60*$N$4</f>
        <v>184.15161589194057</v>
      </c>
      <c r="O60" s="87">
        <v>182.32</v>
      </c>
      <c r="P60" s="87">
        <v>182.32</v>
      </c>
      <c r="Q60" s="87">
        <f>N60*$Q$4</f>
        <v>189.01512711645128</v>
      </c>
      <c r="R60" s="87">
        <v>189.687</v>
      </c>
    </row>
    <row r="61" spans="1:18" s="67" customFormat="1" ht="22.5">
      <c r="A61" s="85" t="s">
        <v>229</v>
      </c>
      <c r="B61" s="86" t="s">
        <v>230</v>
      </c>
      <c r="C61" s="87">
        <v>200.134</v>
      </c>
      <c r="D61" s="87">
        <v>666.1200000000001</v>
      </c>
      <c r="E61" s="87">
        <v>666.1200000000001</v>
      </c>
      <c r="F61" s="87">
        <v>666.1200000000001</v>
      </c>
      <c r="G61" s="87">
        <v>666.1200000000001</v>
      </c>
      <c r="H61" s="87">
        <v>1242.827</v>
      </c>
      <c r="I61" s="87">
        <f t="shared" si="30"/>
        <v>696.9328396030771</v>
      </c>
      <c r="J61" s="87">
        <f t="shared" si="30"/>
        <v>696.9328396030771</v>
      </c>
      <c r="K61" s="87">
        <f t="shared" si="30"/>
        <v>696.9328396030771</v>
      </c>
      <c r="L61" s="87">
        <f>G61*$L$4</f>
        <v>696.9328396030771</v>
      </c>
      <c r="M61" s="87">
        <v>283</v>
      </c>
      <c r="N61" s="87">
        <f>L61*$N$4</f>
        <v>712.211725779692</v>
      </c>
      <c r="O61" s="87">
        <v>282.8</v>
      </c>
      <c r="P61" s="87">
        <v>282.8</v>
      </c>
      <c r="Q61" s="87">
        <f>N61*$Q$4</f>
        <v>731.0214967707336</v>
      </c>
      <c r="R61" s="87">
        <v>1432.174</v>
      </c>
    </row>
    <row r="62" spans="1:18" s="67" customFormat="1" ht="22.5">
      <c r="A62" s="166" t="s">
        <v>934</v>
      </c>
      <c r="B62" s="86"/>
      <c r="C62" s="87"/>
      <c r="D62" s="87"/>
      <c r="E62" s="87"/>
      <c r="F62" s="87"/>
      <c r="G62" s="87"/>
      <c r="H62" s="87"/>
      <c r="I62" s="87"/>
      <c r="J62" s="87"/>
      <c r="K62" s="87"/>
      <c r="L62" s="87"/>
      <c r="M62" s="87"/>
      <c r="N62" s="87"/>
      <c r="O62" s="87">
        <v>25</v>
      </c>
      <c r="P62" s="87">
        <v>25</v>
      </c>
      <c r="Q62" s="87"/>
      <c r="R62" s="87">
        <v>508.96</v>
      </c>
    </row>
    <row r="63" spans="1:18" s="67" customFormat="1" ht="22.5">
      <c r="A63" s="85" t="s">
        <v>231</v>
      </c>
      <c r="B63" s="86" t="s">
        <v>232</v>
      </c>
      <c r="C63" s="87">
        <v>22.826</v>
      </c>
      <c r="D63" s="87">
        <v>33.868</v>
      </c>
      <c r="E63" s="87">
        <v>33.868</v>
      </c>
      <c r="F63" s="87">
        <v>33.868</v>
      </c>
      <c r="G63" s="87">
        <v>33.868</v>
      </c>
      <c r="H63" s="87">
        <v>54.456</v>
      </c>
      <c r="I63" s="87">
        <f aca="true" t="shared" si="31" ref="I63:K65">D63*$J$4</f>
        <v>35.434638521102826</v>
      </c>
      <c r="J63" s="87">
        <f t="shared" si="31"/>
        <v>35.434638521102826</v>
      </c>
      <c r="K63" s="87">
        <f t="shared" si="31"/>
        <v>35.434638521102826</v>
      </c>
      <c r="L63" s="87">
        <f>G63*$L$4</f>
        <v>35.434638521102826</v>
      </c>
      <c r="M63" s="87">
        <v>37.044</v>
      </c>
      <c r="N63" s="87">
        <f>L63*$N$4</f>
        <v>36.211473501331</v>
      </c>
      <c r="O63" s="87">
        <v>98.4</v>
      </c>
      <c r="P63" s="87">
        <v>96.77300000000001</v>
      </c>
      <c r="Q63" s="87">
        <f>N63*$Q$4</f>
        <v>37.167831700941576</v>
      </c>
      <c r="R63" s="87">
        <v>134.366</v>
      </c>
    </row>
    <row r="64" spans="1:18" s="67" customFormat="1" ht="22.5">
      <c r="A64" s="85" t="s">
        <v>233</v>
      </c>
      <c r="B64" s="86" t="s">
        <v>234</v>
      </c>
      <c r="C64" s="87">
        <v>493.81</v>
      </c>
      <c r="D64" s="87">
        <v>529.9351200000001</v>
      </c>
      <c r="E64" s="87">
        <v>529.9351200000001</v>
      </c>
      <c r="F64" s="87">
        <v>529.9351200000001</v>
      </c>
      <c r="G64" s="87">
        <v>529.9351200000001</v>
      </c>
      <c r="H64" s="87">
        <v>494.112</v>
      </c>
      <c r="I64" s="87">
        <f t="shared" si="31"/>
        <v>554.4484296928443</v>
      </c>
      <c r="J64" s="87">
        <f t="shared" si="31"/>
        <v>554.4484296928443</v>
      </c>
      <c r="K64" s="87">
        <f t="shared" si="31"/>
        <v>554.4484296928443</v>
      </c>
      <c r="L64" s="87">
        <f>G64*$L$4</f>
        <v>554.4484296928443</v>
      </c>
      <c r="M64" s="87">
        <v>494.11199999999997</v>
      </c>
      <c r="N64" s="87">
        <f>L64*$N$4</f>
        <v>566.6036245218102</v>
      </c>
      <c r="O64" s="87">
        <v>370</v>
      </c>
      <c r="P64" s="87">
        <v>370</v>
      </c>
      <c r="Q64" s="87">
        <f>N64*$Q$4</f>
        <v>581.5678325433531</v>
      </c>
      <c r="R64" s="87">
        <v>535.494</v>
      </c>
    </row>
    <row r="65" spans="1:18" s="67" customFormat="1" ht="22.5">
      <c r="A65" s="85" t="s">
        <v>235</v>
      </c>
      <c r="B65" s="86" t="s">
        <v>236</v>
      </c>
      <c r="C65" s="87">
        <v>3.025</v>
      </c>
      <c r="D65" s="87">
        <v>0</v>
      </c>
      <c r="E65" s="87">
        <v>0</v>
      </c>
      <c r="F65" s="87">
        <v>0</v>
      </c>
      <c r="G65" s="87">
        <v>0</v>
      </c>
      <c r="H65" s="87">
        <v>32.466</v>
      </c>
      <c r="I65" s="87">
        <f t="shared" si="31"/>
        <v>0</v>
      </c>
      <c r="J65" s="87">
        <f t="shared" si="31"/>
        <v>0</v>
      </c>
      <c r="K65" s="87">
        <f t="shared" si="31"/>
        <v>0</v>
      </c>
      <c r="L65" s="87">
        <f>G65*$L$4</f>
        <v>0</v>
      </c>
      <c r="M65" s="87"/>
      <c r="N65" s="87">
        <f>L65*$N$4</f>
        <v>0</v>
      </c>
      <c r="O65" s="87">
        <v>17.59</v>
      </c>
      <c r="P65" s="87">
        <v>17.197</v>
      </c>
      <c r="Q65" s="87">
        <f>N65*$Q$4</f>
        <v>0</v>
      </c>
      <c r="R65" s="87">
        <v>0</v>
      </c>
    </row>
    <row r="66" spans="1:18" s="67" customFormat="1" ht="11.25">
      <c r="A66" s="73" t="s">
        <v>237</v>
      </c>
      <c r="B66" s="84" t="s">
        <v>238</v>
      </c>
      <c r="C66" s="75">
        <f>SUM(C67:C72)</f>
        <v>1965.667</v>
      </c>
      <c r="D66" s="75">
        <f aca="true" t="shared" si="32" ref="D66:R66">SUM(D67:D72)</f>
        <v>1959.575904</v>
      </c>
      <c r="E66" s="75">
        <f t="shared" si="32"/>
        <v>1959.575904</v>
      </c>
      <c r="F66" s="75">
        <f t="shared" si="32"/>
        <v>1959.575904</v>
      </c>
      <c r="G66" s="75">
        <f>SUM(G68:G71)</f>
        <v>1959.575904</v>
      </c>
      <c r="H66" s="75">
        <f t="shared" si="32"/>
        <v>2723.359</v>
      </c>
      <c r="I66" s="75">
        <f t="shared" si="32"/>
        <v>2050.22037949992</v>
      </c>
      <c r="J66" s="75">
        <f t="shared" si="32"/>
        <v>2050.22037949992</v>
      </c>
      <c r="K66" s="75">
        <f t="shared" si="32"/>
        <v>2050.22037949992</v>
      </c>
      <c r="L66" s="75">
        <f t="shared" si="32"/>
        <v>2050.22037949992</v>
      </c>
      <c r="M66" s="75">
        <f t="shared" si="32"/>
        <v>2839.627</v>
      </c>
      <c r="N66" s="75">
        <f t="shared" si="32"/>
        <v>2095.16744187855</v>
      </c>
      <c r="O66" s="75">
        <f t="shared" si="32"/>
        <v>3936.6980000000003</v>
      </c>
      <c r="P66" s="75">
        <f t="shared" si="32"/>
        <v>3936.699</v>
      </c>
      <c r="Q66" s="75">
        <f t="shared" si="32"/>
        <v>2150.50157685994</v>
      </c>
      <c r="R66" s="75">
        <f t="shared" si="32"/>
        <v>7794.250999999999</v>
      </c>
    </row>
    <row r="67" spans="1:18" s="67" customFormat="1" ht="22.5">
      <c r="A67" s="90" t="s">
        <v>935</v>
      </c>
      <c r="B67" s="86"/>
      <c r="C67" s="87"/>
      <c r="D67" s="87"/>
      <c r="E67" s="87"/>
      <c r="F67" s="87"/>
      <c r="G67" s="87"/>
      <c r="H67" s="87"/>
      <c r="I67" s="87"/>
      <c r="J67" s="87"/>
      <c r="K67" s="87"/>
      <c r="L67" s="87"/>
      <c r="M67" s="87"/>
      <c r="N67" s="87"/>
      <c r="O67" s="87">
        <v>412.515</v>
      </c>
      <c r="P67" s="87">
        <v>412.51500000000004</v>
      </c>
      <c r="Q67" s="87"/>
      <c r="R67" s="87">
        <v>2025.528</v>
      </c>
    </row>
    <row r="68" spans="1:18" s="67" customFormat="1" ht="22.5">
      <c r="A68" s="90" t="s">
        <v>795</v>
      </c>
      <c r="B68" s="86" t="s">
        <v>796</v>
      </c>
      <c r="C68" s="87"/>
      <c r="D68" s="87"/>
      <c r="E68" s="87"/>
      <c r="F68" s="87"/>
      <c r="G68" s="87"/>
      <c r="H68" s="87">
        <v>128.773</v>
      </c>
      <c r="I68" s="87">
        <f aca="true" t="shared" si="33" ref="I68:K71">D68*$J$4</f>
        <v>0</v>
      </c>
      <c r="J68" s="87">
        <f t="shared" si="33"/>
        <v>0</v>
      </c>
      <c r="K68" s="87">
        <f t="shared" si="33"/>
        <v>0</v>
      </c>
      <c r="L68" s="87">
        <f>G68*$L$4</f>
        <v>0</v>
      </c>
      <c r="M68" s="87"/>
      <c r="N68" s="87">
        <f>L68*$N$4</f>
        <v>0</v>
      </c>
      <c r="O68" s="87">
        <v>0</v>
      </c>
      <c r="P68" s="87">
        <v>0</v>
      </c>
      <c r="Q68" s="87">
        <f>N68*$Q$4</f>
        <v>0</v>
      </c>
      <c r="R68" s="87">
        <v>0</v>
      </c>
    </row>
    <row r="69" spans="1:18" s="67" customFormat="1" ht="22.5" customHeight="1">
      <c r="A69" s="85" t="s">
        <v>239</v>
      </c>
      <c r="B69" s="86" t="s">
        <v>240</v>
      </c>
      <c r="C69" s="87">
        <v>674.837</v>
      </c>
      <c r="D69" s="87">
        <v>0</v>
      </c>
      <c r="E69" s="87">
        <v>0</v>
      </c>
      <c r="F69" s="87">
        <v>0</v>
      </c>
      <c r="G69" s="87">
        <v>0</v>
      </c>
      <c r="H69" s="87">
        <v>709.957</v>
      </c>
      <c r="I69" s="87">
        <f t="shared" si="33"/>
        <v>0</v>
      </c>
      <c r="J69" s="87">
        <f t="shared" si="33"/>
        <v>0</v>
      </c>
      <c r="K69" s="87">
        <f t="shared" si="33"/>
        <v>0</v>
      </c>
      <c r="L69" s="87">
        <f>G69*$L$4</f>
        <v>0</v>
      </c>
      <c r="M69" s="87">
        <v>837.731</v>
      </c>
      <c r="N69" s="87">
        <f>L69*$N$4</f>
        <v>0</v>
      </c>
      <c r="O69" s="87">
        <v>846.62</v>
      </c>
      <c r="P69" s="87">
        <v>846.6200000000001</v>
      </c>
      <c r="Q69" s="87">
        <f>N69*$Q$4</f>
        <v>0</v>
      </c>
      <c r="R69" s="87">
        <v>880.823</v>
      </c>
    </row>
    <row r="70" spans="1:18" s="67" customFormat="1" ht="22.5">
      <c r="A70" s="85" t="s">
        <v>241</v>
      </c>
      <c r="B70" s="86" t="s">
        <v>242</v>
      </c>
      <c r="C70" s="87">
        <v>1290.83</v>
      </c>
      <c r="D70" s="87">
        <v>1959.575904</v>
      </c>
      <c r="E70" s="87">
        <v>1959.575904</v>
      </c>
      <c r="F70" s="87">
        <v>1959.575904</v>
      </c>
      <c r="G70" s="87">
        <v>1959.575904</v>
      </c>
      <c r="H70" s="87">
        <v>1867.134</v>
      </c>
      <c r="I70" s="87">
        <f t="shared" si="33"/>
        <v>2050.22037949992</v>
      </c>
      <c r="J70" s="87">
        <f t="shared" si="33"/>
        <v>2050.22037949992</v>
      </c>
      <c r="K70" s="87">
        <f t="shared" si="33"/>
        <v>2050.22037949992</v>
      </c>
      <c r="L70" s="87">
        <f>G70*$L$4</f>
        <v>2050.22037949992</v>
      </c>
      <c r="M70" s="87">
        <v>2001.896</v>
      </c>
      <c r="N70" s="87">
        <f>L70*$N$4</f>
        <v>2095.16744187855</v>
      </c>
      <c r="O70" s="87">
        <v>2677.563</v>
      </c>
      <c r="P70" s="87">
        <v>2677.564</v>
      </c>
      <c r="Q70" s="87">
        <f>N70*$Q$4</f>
        <v>2150.50157685994</v>
      </c>
      <c r="R70" s="87">
        <v>2618.736</v>
      </c>
    </row>
    <row r="71" spans="1:18" s="67" customFormat="1" ht="11.25">
      <c r="A71" s="85" t="s">
        <v>243</v>
      </c>
      <c r="B71" s="86" t="s">
        <v>244</v>
      </c>
      <c r="C71" s="87"/>
      <c r="D71" s="87">
        <v>0</v>
      </c>
      <c r="E71" s="87">
        <v>0</v>
      </c>
      <c r="F71" s="87">
        <v>0</v>
      </c>
      <c r="G71" s="87">
        <v>0</v>
      </c>
      <c r="H71" s="87">
        <v>17.495</v>
      </c>
      <c r="I71" s="87">
        <f t="shared" si="33"/>
        <v>0</v>
      </c>
      <c r="J71" s="87">
        <f t="shared" si="33"/>
        <v>0</v>
      </c>
      <c r="K71" s="87">
        <f t="shared" si="33"/>
        <v>0</v>
      </c>
      <c r="L71" s="87">
        <f>G71*$L$4</f>
        <v>0</v>
      </c>
      <c r="M71" s="87"/>
      <c r="N71" s="87">
        <f>L71*$N$4</f>
        <v>0</v>
      </c>
      <c r="O71" s="87">
        <v>0</v>
      </c>
      <c r="P71" s="87">
        <v>0</v>
      </c>
      <c r="Q71" s="87">
        <f>N71*$Q$4</f>
        <v>0</v>
      </c>
      <c r="R71" s="87">
        <v>25.164</v>
      </c>
    </row>
    <row r="72" spans="1:18" s="67" customFormat="1" ht="22.5">
      <c r="A72" s="90" t="s">
        <v>807</v>
      </c>
      <c r="B72" s="86" t="s">
        <v>808</v>
      </c>
      <c r="C72" s="87"/>
      <c r="D72" s="87"/>
      <c r="E72" s="87"/>
      <c r="F72" s="87"/>
      <c r="G72" s="87"/>
      <c r="H72" s="87"/>
      <c r="I72" s="87"/>
      <c r="J72" s="87"/>
      <c r="K72" s="87"/>
      <c r="L72" s="87"/>
      <c r="M72" s="87"/>
      <c r="N72" s="87">
        <f>L72*$N$4</f>
        <v>0</v>
      </c>
      <c r="O72" s="87">
        <v>0</v>
      </c>
      <c r="P72" s="87">
        <v>0</v>
      </c>
      <c r="Q72" s="87">
        <f>N72*$Q$4</f>
        <v>0</v>
      </c>
      <c r="R72" s="87">
        <v>2244</v>
      </c>
    </row>
    <row r="73" spans="1:18" s="67" customFormat="1" ht="11.25">
      <c r="A73" s="73" t="s">
        <v>245</v>
      </c>
      <c r="B73" s="84" t="s">
        <v>246</v>
      </c>
      <c r="C73" s="75">
        <f aca="true" t="shared" si="34" ref="C73:R73">SUM(C74)</f>
        <v>0</v>
      </c>
      <c r="D73" s="75">
        <f t="shared" si="34"/>
        <v>168.168</v>
      </c>
      <c r="E73" s="75">
        <f t="shared" si="34"/>
        <v>168.168</v>
      </c>
      <c r="F73" s="75">
        <f t="shared" si="34"/>
        <v>168.168</v>
      </c>
      <c r="G73" s="75">
        <f t="shared" si="34"/>
        <v>168.168</v>
      </c>
      <c r="H73" s="75">
        <f t="shared" si="34"/>
        <v>5.059</v>
      </c>
      <c r="I73" s="75">
        <f t="shared" si="34"/>
        <v>175.94697917848174</v>
      </c>
      <c r="J73" s="75">
        <f t="shared" si="34"/>
        <v>175.94697917848174</v>
      </c>
      <c r="K73" s="75">
        <f t="shared" si="34"/>
        <v>175.94697917848174</v>
      </c>
      <c r="L73" s="75">
        <f t="shared" si="34"/>
        <v>175.94697917848174</v>
      </c>
      <c r="M73" s="75">
        <f t="shared" si="34"/>
        <v>0</v>
      </c>
      <c r="N73" s="75">
        <f t="shared" si="34"/>
        <v>179.80427175421727</v>
      </c>
      <c r="O73" s="75">
        <f t="shared" si="34"/>
        <v>0</v>
      </c>
      <c r="P73" s="75">
        <f t="shared" si="34"/>
        <v>0</v>
      </c>
      <c r="Q73" s="75">
        <f t="shared" si="34"/>
        <v>184.55296803720157</v>
      </c>
      <c r="R73" s="75">
        <f t="shared" si="34"/>
        <v>0</v>
      </c>
    </row>
    <row r="74" spans="1:18" s="67" customFormat="1" ht="22.5">
      <c r="A74" s="85" t="s">
        <v>247</v>
      </c>
      <c r="B74" s="86" t="s">
        <v>248</v>
      </c>
      <c r="C74" s="87"/>
      <c r="D74" s="87">
        <v>168.168</v>
      </c>
      <c r="E74" s="87">
        <v>168.168</v>
      </c>
      <c r="F74" s="87">
        <v>168.168</v>
      </c>
      <c r="G74" s="87">
        <v>168.168</v>
      </c>
      <c r="H74" s="87">
        <v>5.059</v>
      </c>
      <c r="I74" s="87">
        <f aca="true" t="shared" si="35" ref="I74:K75">D74*$J$4</f>
        <v>175.94697917848174</v>
      </c>
      <c r="J74" s="87">
        <f t="shared" si="35"/>
        <v>175.94697917848174</v>
      </c>
      <c r="K74" s="87">
        <f t="shared" si="35"/>
        <v>175.94697917848174</v>
      </c>
      <c r="L74" s="87">
        <f>G74*$L$4</f>
        <v>175.94697917848174</v>
      </c>
      <c r="M74" s="87"/>
      <c r="N74" s="87">
        <f>L74*$N$4</f>
        <v>179.80427175421727</v>
      </c>
      <c r="O74" s="87"/>
      <c r="P74" s="87"/>
      <c r="Q74" s="87">
        <f>N74*$Q$4</f>
        <v>184.55296803720157</v>
      </c>
      <c r="R74" s="87"/>
    </row>
    <row r="75" spans="1:18" s="67" customFormat="1" ht="11.25">
      <c r="A75" s="85" t="s">
        <v>249</v>
      </c>
      <c r="B75" s="86" t="s">
        <v>250</v>
      </c>
      <c r="C75" s="87">
        <v>397.496</v>
      </c>
      <c r="D75" s="87">
        <v>803.3981670000001</v>
      </c>
      <c r="E75" s="87">
        <v>803.3981670000001</v>
      </c>
      <c r="F75" s="87">
        <v>803.3981670000001</v>
      </c>
      <c r="G75" s="87">
        <v>803.3981670000001</v>
      </c>
      <c r="H75" s="87">
        <v>1091.984</v>
      </c>
      <c r="I75" s="87">
        <f t="shared" si="35"/>
        <v>840.5611088981221</v>
      </c>
      <c r="J75" s="87">
        <f t="shared" si="35"/>
        <v>840.5611088981221</v>
      </c>
      <c r="K75" s="87">
        <f t="shared" si="35"/>
        <v>840.5611088981221</v>
      </c>
      <c r="L75" s="87">
        <f>G75*$L$4</f>
        <v>840.5611088981221</v>
      </c>
      <c r="M75" s="87">
        <v>336.31100000000004</v>
      </c>
      <c r="N75" s="87">
        <f>L75*$N$4</f>
        <v>858.98876329687</v>
      </c>
      <c r="O75" s="87">
        <v>715.44</v>
      </c>
      <c r="P75" s="87">
        <v>715.44</v>
      </c>
      <c r="Q75" s="87">
        <f>N75*$Q$4</f>
        <v>881.674969289623</v>
      </c>
      <c r="R75" s="87">
        <v>995.764</v>
      </c>
    </row>
    <row r="76" spans="1:18" s="67" customFormat="1" ht="11.25">
      <c r="A76" s="73" t="s">
        <v>251</v>
      </c>
      <c r="B76" s="84" t="s">
        <v>252</v>
      </c>
      <c r="C76" s="75">
        <f aca="true" t="shared" si="36" ref="C76:R76">SUM(C77:C85)</f>
        <v>2203.048</v>
      </c>
      <c r="D76" s="75">
        <f t="shared" si="36"/>
        <v>2628.5303895999996</v>
      </c>
      <c r="E76" s="75">
        <f t="shared" si="36"/>
        <v>2628.5303895999996</v>
      </c>
      <c r="F76" s="75">
        <f t="shared" si="36"/>
        <v>1216.7383896</v>
      </c>
      <c r="G76" s="75">
        <f>SUM(G77:G82)</f>
        <v>2628.5303895999996</v>
      </c>
      <c r="H76" s="75">
        <f t="shared" si="36"/>
        <v>5088.031000000001</v>
      </c>
      <c r="I76" s="75">
        <f t="shared" si="36"/>
        <v>2750.1188200428005</v>
      </c>
      <c r="J76" s="75">
        <f t="shared" si="36"/>
        <v>2750.1188200428005</v>
      </c>
      <c r="K76" s="75">
        <f t="shared" si="36"/>
        <v>1273.0212888338483</v>
      </c>
      <c r="L76" s="75">
        <f>SUM(L77:L82)</f>
        <v>2750.1188200428005</v>
      </c>
      <c r="M76" s="75">
        <f t="shared" si="36"/>
        <v>16716.670000000002</v>
      </c>
      <c r="N76" s="75">
        <f t="shared" si="36"/>
        <v>2810.4097835846114</v>
      </c>
      <c r="O76" s="75">
        <f t="shared" si="36"/>
        <v>7238.496000000001</v>
      </c>
      <c r="P76" s="75">
        <f t="shared" si="36"/>
        <v>7238.497000000001</v>
      </c>
      <c r="Q76" s="75">
        <f t="shared" si="36"/>
        <v>2884.6337292270928</v>
      </c>
      <c r="R76" s="75">
        <f t="shared" si="36"/>
        <v>5558.672</v>
      </c>
    </row>
    <row r="77" spans="1:18" s="67" customFormat="1" ht="22.5">
      <c r="A77" s="85" t="s">
        <v>253</v>
      </c>
      <c r="B77" s="86" t="s">
        <v>254</v>
      </c>
      <c r="C77" s="87">
        <v>621.407</v>
      </c>
      <c r="D77" s="87">
        <v>1070.686</v>
      </c>
      <c r="E77" s="87">
        <v>1070.686</v>
      </c>
      <c r="F77" s="87">
        <v>1070.686</v>
      </c>
      <c r="G77" s="87">
        <v>1070.686</v>
      </c>
      <c r="H77" s="87">
        <v>845.336</v>
      </c>
      <c r="I77" s="87">
        <f aca="true" t="shared" si="37" ref="I77:K79">D77*$J$4</f>
        <v>1120.2129260542547</v>
      </c>
      <c r="J77" s="87">
        <f t="shared" si="37"/>
        <v>1120.2129260542547</v>
      </c>
      <c r="K77" s="87">
        <f t="shared" si="37"/>
        <v>1120.2129260542547</v>
      </c>
      <c r="L77" s="87">
        <f>G77*$L$4</f>
        <v>1120.2129260542547</v>
      </c>
      <c r="M77" s="87">
        <v>817.664</v>
      </c>
      <c r="N77" s="87">
        <f>L77*$N$4</f>
        <v>1144.7713982888295</v>
      </c>
      <c r="O77" s="87">
        <v>1141.289</v>
      </c>
      <c r="P77" s="87">
        <v>1141.289</v>
      </c>
      <c r="Q77" s="87">
        <f>N77*$Q$4</f>
        <v>1175.0052277239379</v>
      </c>
      <c r="R77" s="87">
        <v>1289.173</v>
      </c>
    </row>
    <row r="78" spans="1:18" s="67" customFormat="1" ht="11.25">
      <c r="A78" s="85" t="s">
        <v>797</v>
      </c>
      <c r="B78" s="86" t="s">
        <v>798</v>
      </c>
      <c r="C78" s="87"/>
      <c r="D78" s="87"/>
      <c r="E78" s="87"/>
      <c r="F78" s="87"/>
      <c r="G78" s="87"/>
      <c r="H78" s="87">
        <v>1525.5</v>
      </c>
      <c r="I78" s="87">
        <f t="shared" si="37"/>
        <v>0</v>
      </c>
      <c r="J78" s="87">
        <f t="shared" si="37"/>
        <v>0</v>
      </c>
      <c r="K78" s="87">
        <f t="shared" si="37"/>
        <v>0</v>
      </c>
      <c r="L78" s="87">
        <f>G78*$L$4</f>
        <v>0</v>
      </c>
      <c r="M78" s="87"/>
      <c r="N78" s="87">
        <f>L78*$N$4</f>
        <v>0</v>
      </c>
      <c r="O78" s="87">
        <v>0</v>
      </c>
      <c r="P78" s="87">
        <v>0</v>
      </c>
      <c r="Q78" s="87">
        <f>N78*$Q$4</f>
        <v>0</v>
      </c>
      <c r="R78" s="87"/>
    </row>
    <row r="79" spans="1:18" s="67" customFormat="1" ht="22.5">
      <c r="A79" s="85" t="s">
        <v>255</v>
      </c>
      <c r="B79" s="86" t="s">
        <v>256</v>
      </c>
      <c r="C79" s="87">
        <v>106.186</v>
      </c>
      <c r="D79" s="87">
        <v>146.0523896</v>
      </c>
      <c r="E79" s="87">
        <v>146.0523896</v>
      </c>
      <c r="F79" s="87">
        <v>146.0523896</v>
      </c>
      <c r="G79" s="87">
        <v>146.0523896</v>
      </c>
      <c r="H79" s="87">
        <v>1144.117</v>
      </c>
      <c r="I79" s="87">
        <f t="shared" si="37"/>
        <v>152.80836277959364</v>
      </c>
      <c r="J79" s="87">
        <f t="shared" si="37"/>
        <v>152.80836277959364</v>
      </c>
      <c r="K79" s="87">
        <f t="shared" si="37"/>
        <v>152.80836277959364</v>
      </c>
      <c r="L79" s="87">
        <f>G79*$L$4</f>
        <v>152.80836277959364</v>
      </c>
      <c r="M79" s="87">
        <v>1262.584</v>
      </c>
      <c r="N79" s="87">
        <f>L79*$N$4</f>
        <v>156.15838655387003</v>
      </c>
      <c r="O79" s="87">
        <v>141.124</v>
      </c>
      <c r="P79" s="87">
        <v>141.124</v>
      </c>
      <c r="Q79" s="87">
        <f>N79*$Q$4</f>
        <v>160.28258639934893</v>
      </c>
      <c r="R79" s="87">
        <v>965.869</v>
      </c>
    </row>
    <row r="80" spans="1:18" s="67" customFormat="1" ht="22.5">
      <c r="A80" s="85" t="s">
        <v>848</v>
      </c>
      <c r="B80" s="86" t="s">
        <v>849</v>
      </c>
      <c r="C80" s="87"/>
      <c r="D80" s="87"/>
      <c r="E80" s="87"/>
      <c r="F80" s="87"/>
      <c r="G80" s="87"/>
      <c r="H80" s="87"/>
      <c r="I80" s="87"/>
      <c r="J80" s="87"/>
      <c r="K80" s="87"/>
      <c r="L80" s="87"/>
      <c r="M80" s="87"/>
      <c r="N80" s="87"/>
      <c r="O80" s="87">
        <v>3120</v>
      </c>
      <c r="P80" s="87">
        <v>3120</v>
      </c>
      <c r="Q80" s="87"/>
      <c r="R80" s="87">
        <v>457</v>
      </c>
    </row>
    <row r="81" spans="1:18" s="67" customFormat="1" ht="22.5">
      <c r="A81" s="85" t="s">
        <v>800</v>
      </c>
      <c r="B81" s="86" t="s">
        <v>799</v>
      </c>
      <c r="C81" s="87"/>
      <c r="D81" s="87"/>
      <c r="E81" s="87"/>
      <c r="F81" s="87"/>
      <c r="G81" s="87"/>
      <c r="H81" s="87">
        <v>38.963</v>
      </c>
      <c r="I81" s="87">
        <f aca="true" t="shared" si="38" ref="I81:K82">D81*$J$4</f>
        <v>0</v>
      </c>
      <c r="J81" s="87">
        <f t="shared" si="38"/>
        <v>0</v>
      </c>
      <c r="K81" s="87">
        <f t="shared" si="38"/>
        <v>0</v>
      </c>
      <c r="L81" s="87">
        <f>G81*$L$4</f>
        <v>0</v>
      </c>
      <c r="M81" s="87">
        <v>279.706</v>
      </c>
      <c r="N81" s="87">
        <f>L81*$N$4</f>
        <v>0</v>
      </c>
      <c r="O81" s="87">
        <v>71.319</v>
      </c>
      <c r="P81" s="87">
        <v>71.319</v>
      </c>
      <c r="Q81" s="87">
        <f>N81*$Q$4</f>
        <v>0</v>
      </c>
      <c r="R81" s="87">
        <v>0</v>
      </c>
    </row>
    <row r="82" spans="1:18" s="67" customFormat="1" ht="11.25">
      <c r="A82" s="85" t="s">
        <v>257</v>
      </c>
      <c r="B82" s="86" t="s">
        <v>258</v>
      </c>
      <c r="C82" s="87">
        <v>1475.455</v>
      </c>
      <c r="D82" s="87">
        <v>1411.792</v>
      </c>
      <c r="E82" s="87">
        <v>1411.792</v>
      </c>
      <c r="F82" s="91">
        <v>0</v>
      </c>
      <c r="G82" s="167">
        <v>1411.792</v>
      </c>
      <c r="H82" s="87">
        <v>1534.115</v>
      </c>
      <c r="I82" s="87">
        <f t="shared" si="38"/>
        <v>1477.0975312089522</v>
      </c>
      <c r="J82" s="87">
        <f t="shared" si="38"/>
        <v>1477.0975312089522</v>
      </c>
      <c r="K82" s="87">
        <f t="shared" si="38"/>
        <v>0</v>
      </c>
      <c r="L82" s="87">
        <f>G82*$L$4</f>
        <v>1477.0975312089522</v>
      </c>
      <c r="M82" s="87">
        <v>1604.4859999999999</v>
      </c>
      <c r="N82" s="87">
        <f>L82*$N$4</f>
        <v>1509.4799987419121</v>
      </c>
      <c r="O82" s="87">
        <v>1612.659</v>
      </c>
      <c r="P82" s="87">
        <v>1612.659</v>
      </c>
      <c r="Q82" s="87">
        <f>N82*$Q$4</f>
        <v>1549.345915103806</v>
      </c>
      <c r="R82" s="87">
        <v>1545.613</v>
      </c>
    </row>
    <row r="83" spans="1:18" s="67" customFormat="1" ht="11.25">
      <c r="A83" s="90" t="s">
        <v>809</v>
      </c>
      <c r="B83" s="86" t="s">
        <v>810</v>
      </c>
      <c r="C83" s="87"/>
      <c r="D83" s="87"/>
      <c r="E83" s="87"/>
      <c r="F83" s="87"/>
      <c r="G83" s="87"/>
      <c r="H83" s="87"/>
      <c r="I83" s="87"/>
      <c r="J83" s="87"/>
      <c r="K83" s="87"/>
      <c r="L83" s="87"/>
      <c r="M83" s="87">
        <v>12138.433</v>
      </c>
      <c r="N83" s="87">
        <f>L83*$N$4</f>
        <v>0</v>
      </c>
      <c r="O83" s="87">
        <v>526.103</v>
      </c>
      <c r="P83" s="87">
        <v>526.104</v>
      </c>
      <c r="Q83" s="87">
        <f>N83*$Q$4</f>
        <v>0</v>
      </c>
      <c r="R83" s="87">
        <v>688.065</v>
      </c>
    </row>
    <row r="84" spans="1:18" s="67" customFormat="1" ht="22.5">
      <c r="A84" s="90" t="s">
        <v>850</v>
      </c>
      <c r="B84" s="86" t="s">
        <v>851</v>
      </c>
      <c r="C84" s="87"/>
      <c r="D84" s="87"/>
      <c r="E84" s="87"/>
      <c r="F84" s="87"/>
      <c r="G84" s="87"/>
      <c r="H84" s="87"/>
      <c r="I84" s="87"/>
      <c r="J84" s="87"/>
      <c r="K84" s="87"/>
      <c r="L84" s="87"/>
      <c r="M84" s="87">
        <v>352.96299999999997</v>
      </c>
      <c r="N84" s="87"/>
      <c r="O84" s="87">
        <v>0</v>
      </c>
      <c r="P84" s="87">
        <v>0</v>
      </c>
      <c r="Q84" s="87"/>
      <c r="R84" s="87"/>
    </row>
    <row r="85" spans="1:18" s="67" customFormat="1" ht="22.5">
      <c r="A85" s="90" t="s">
        <v>852</v>
      </c>
      <c r="B85" s="86" t="s">
        <v>853</v>
      </c>
      <c r="C85" s="87"/>
      <c r="D85" s="87"/>
      <c r="E85" s="87"/>
      <c r="F85" s="87"/>
      <c r="G85" s="87"/>
      <c r="H85" s="87"/>
      <c r="I85" s="87"/>
      <c r="J85" s="87"/>
      <c r="K85" s="87"/>
      <c r="L85" s="87"/>
      <c r="M85" s="87">
        <v>260.834</v>
      </c>
      <c r="N85" s="87"/>
      <c r="O85" s="87">
        <v>626.002</v>
      </c>
      <c r="P85" s="87">
        <v>626.002</v>
      </c>
      <c r="Q85" s="87"/>
      <c r="R85" s="87">
        <v>612.952</v>
      </c>
    </row>
    <row r="86" spans="1:18" s="67" customFormat="1" ht="11.25" customHeight="1">
      <c r="A86" s="73" t="s">
        <v>18</v>
      </c>
      <c r="B86" s="84" t="s">
        <v>259</v>
      </c>
      <c r="C86" s="75">
        <f>SUM(C87:C96)</f>
        <v>461268.374</v>
      </c>
      <c r="D86" s="75">
        <v>532371.639621099</v>
      </c>
      <c r="E86" s="75">
        <v>532371.639621099</v>
      </c>
      <c r="F86" s="75">
        <v>532371.639621099</v>
      </c>
      <c r="G86" s="75">
        <v>532371.639621099</v>
      </c>
      <c r="H86" s="75">
        <f>SUM(H87:H96)</f>
        <v>500609.3409999999</v>
      </c>
      <c r="I86" s="75">
        <f>D86*$J$4</f>
        <v>556997.6558657277</v>
      </c>
      <c r="J86" s="75">
        <f>E86*$J$4</f>
        <v>556997.6558657277</v>
      </c>
      <c r="K86" s="75">
        <f>F86*$J$4</f>
        <v>556997.6558657277</v>
      </c>
      <c r="L86" s="75">
        <f>G86*$L$4</f>
        <v>556997.6558657277</v>
      </c>
      <c r="M86" s="75">
        <f>SUM(M87:M96)+M101</f>
        <v>540296.769</v>
      </c>
      <c r="N86" s="75">
        <f>L86*$N$4</f>
        <v>569208.7374807949</v>
      </c>
      <c r="O86" s="75">
        <f>SUM(O87:O96)+O101</f>
        <v>585229.086</v>
      </c>
      <c r="P86" s="75">
        <f>SUM(P87:P96)+P101</f>
        <v>573424.023</v>
      </c>
      <c r="Q86" s="75">
        <f>N86*$Q$4</f>
        <v>584241.7474840949</v>
      </c>
      <c r="R86" s="75">
        <f>SUM(R87:R96)+R101</f>
        <v>630899.3549999999</v>
      </c>
    </row>
    <row r="87" spans="1:18" s="67" customFormat="1" ht="11.25">
      <c r="A87" s="85" t="s">
        <v>260</v>
      </c>
      <c r="B87" s="86" t="s">
        <v>261</v>
      </c>
      <c r="C87" s="87">
        <v>227245.285</v>
      </c>
      <c r="D87" s="87"/>
      <c r="E87" s="87"/>
      <c r="F87" s="87"/>
      <c r="G87" s="87"/>
      <c r="H87" s="87">
        <v>243886.156</v>
      </c>
      <c r="I87" s="87"/>
      <c r="J87" s="87"/>
      <c r="K87" s="87"/>
      <c r="L87" s="92"/>
      <c r="M87" s="87">
        <v>265103.697</v>
      </c>
      <c r="N87" s="87"/>
      <c r="O87" s="87">
        <v>291059.996</v>
      </c>
      <c r="P87" s="87">
        <v>285062.03500000003</v>
      </c>
      <c r="Q87" s="87"/>
      <c r="R87" s="87">
        <v>325874.844</v>
      </c>
    </row>
    <row r="88" spans="1:18" s="67" customFormat="1" ht="22.5">
      <c r="A88" s="85" t="s">
        <v>262</v>
      </c>
      <c r="B88" s="86" t="s">
        <v>263</v>
      </c>
      <c r="C88" s="87">
        <v>57164.37</v>
      </c>
      <c r="D88" s="87"/>
      <c r="E88" s="87"/>
      <c r="F88" s="87"/>
      <c r="G88" s="87"/>
      <c r="H88" s="87">
        <v>64909.476</v>
      </c>
      <c r="I88" s="87"/>
      <c r="J88" s="87"/>
      <c r="K88" s="87"/>
      <c r="L88" s="92"/>
      <c r="M88" s="87">
        <v>68695.82</v>
      </c>
      <c r="N88" s="87"/>
      <c r="O88" s="87">
        <v>67987.948</v>
      </c>
      <c r="P88" s="87">
        <v>67103.04800000001</v>
      </c>
      <c r="Q88" s="87"/>
      <c r="R88" s="87">
        <v>76835.583</v>
      </c>
    </row>
    <row r="89" spans="1:18" s="67" customFormat="1" ht="22.5">
      <c r="A89" s="85" t="s">
        <v>264</v>
      </c>
      <c r="B89" s="86" t="s">
        <v>265</v>
      </c>
      <c r="C89" s="87">
        <v>18567.66</v>
      </c>
      <c r="D89" s="87"/>
      <c r="E89" s="87"/>
      <c r="F89" s="87"/>
      <c r="G89" s="87"/>
      <c r="H89" s="87">
        <v>20802.877</v>
      </c>
      <c r="I89" s="87"/>
      <c r="J89" s="87"/>
      <c r="K89" s="87"/>
      <c r="L89" s="92"/>
      <c r="M89" s="87">
        <v>23099.288</v>
      </c>
      <c r="N89" s="87"/>
      <c r="O89" s="87">
        <v>25262.635</v>
      </c>
      <c r="P89" s="87">
        <v>24792.421000000002</v>
      </c>
      <c r="Q89" s="87"/>
      <c r="R89" s="87">
        <v>24554.23</v>
      </c>
    </row>
    <row r="90" spans="1:18" s="67" customFormat="1" ht="11.25">
      <c r="A90" s="85" t="s">
        <v>266</v>
      </c>
      <c r="B90" s="86" t="s">
        <v>267</v>
      </c>
      <c r="C90" s="87">
        <v>1525.95</v>
      </c>
      <c r="D90" s="87"/>
      <c r="E90" s="87"/>
      <c r="F90" s="87"/>
      <c r="G90" s="87"/>
      <c r="H90" s="87">
        <v>1424.058</v>
      </c>
      <c r="I90" s="87"/>
      <c r="J90" s="87"/>
      <c r="K90" s="87"/>
      <c r="L90" s="92"/>
      <c r="M90" s="87">
        <v>1157.4279999999999</v>
      </c>
      <c r="N90" s="87"/>
      <c r="O90" s="87">
        <v>1889.577</v>
      </c>
      <c r="P90" s="87">
        <v>1201.295</v>
      </c>
      <c r="Q90" s="87"/>
      <c r="R90" s="87">
        <v>2174.497</v>
      </c>
    </row>
    <row r="91" spans="1:18" s="67" customFormat="1" ht="22.5">
      <c r="A91" s="85" t="s">
        <v>268</v>
      </c>
      <c r="B91" s="86" t="s">
        <v>269</v>
      </c>
      <c r="C91" s="87">
        <v>72430.62</v>
      </c>
      <c r="D91" s="87"/>
      <c r="E91" s="87"/>
      <c r="F91" s="87"/>
      <c r="G91" s="87"/>
      <c r="H91" s="87">
        <v>77466.797</v>
      </c>
      <c r="I91" s="87"/>
      <c r="J91" s="87"/>
      <c r="K91" s="87"/>
      <c r="L91" s="92"/>
      <c r="M91" s="87">
        <v>84898.668</v>
      </c>
      <c r="N91" s="87"/>
      <c r="O91" s="87">
        <v>91280.68</v>
      </c>
      <c r="P91" s="87">
        <v>89179.076</v>
      </c>
      <c r="Q91" s="87"/>
      <c r="R91" s="87">
        <v>109273.314</v>
      </c>
    </row>
    <row r="92" spans="1:18" s="67" customFormat="1" ht="22.5">
      <c r="A92" s="85" t="s">
        <v>270</v>
      </c>
      <c r="B92" s="86" t="s">
        <v>271</v>
      </c>
      <c r="C92" s="87">
        <v>167.691</v>
      </c>
      <c r="D92" s="87"/>
      <c r="E92" s="87"/>
      <c r="F92" s="87"/>
      <c r="G92" s="87"/>
      <c r="H92" s="87">
        <v>10.133</v>
      </c>
      <c r="I92" s="87"/>
      <c r="J92" s="87"/>
      <c r="K92" s="87"/>
      <c r="L92" s="92"/>
      <c r="M92" s="87">
        <v>20.97</v>
      </c>
      <c r="N92" s="87"/>
      <c r="O92" s="87"/>
      <c r="P92" s="87"/>
      <c r="Q92" s="87"/>
      <c r="R92" s="87">
        <v>0</v>
      </c>
    </row>
    <row r="93" spans="1:18" s="67" customFormat="1" ht="11.25">
      <c r="A93" s="85" t="s">
        <v>272</v>
      </c>
      <c r="B93" s="86" t="s">
        <v>273</v>
      </c>
      <c r="C93" s="87">
        <v>528.32</v>
      </c>
      <c r="D93" s="87"/>
      <c r="E93" s="87"/>
      <c r="F93" s="87"/>
      <c r="G93" s="87"/>
      <c r="H93" s="87">
        <v>822.687</v>
      </c>
      <c r="I93" s="87"/>
      <c r="J93" s="87"/>
      <c r="K93" s="87"/>
      <c r="L93" s="92"/>
      <c r="M93" s="87">
        <v>1080.2730000000001</v>
      </c>
      <c r="N93" s="87"/>
      <c r="O93" s="87">
        <v>2658.331</v>
      </c>
      <c r="P93" s="87">
        <v>2614.833</v>
      </c>
      <c r="Q93" s="87"/>
      <c r="R93" s="87">
        <v>0</v>
      </c>
    </row>
    <row r="94" spans="1:18" s="67" customFormat="1" ht="11.25">
      <c r="A94" s="85" t="s">
        <v>274</v>
      </c>
      <c r="B94" s="86" t="s">
        <v>275</v>
      </c>
      <c r="C94" s="87">
        <v>2626.897</v>
      </c>
      <c r="D94" s="87"/>
      <c r="E94" s="87"/>
      <c r="F94" s="87"/>
      <c r="G94" s="87"/>
      <c r="H94" s="87">
        <v>2205.453</v>
      </c>
      <c r="I94" s="87"/>
      <c r="J94" s="87"/>
      <c r="K94" s="87"/>
      <c r="L94" s="92"/>
      <c r="M94" s="87">
        <v>3472.858</v>
      </c>
      <c r="N94" s="87"/>
      <c r="O94" s="87">
        <v>2159.07</v>
      </c>
      <c r="P94" s="87">
        <v>2157.471</v>
      </c>
      <c r="Q94" s="87"/>
      <c r="R94" s="87">
        <v>0</v>
      </c>
    </row>
    <row r="95" spans="1:18" s="67" customFormat="1" ht="22.5">
      <c r="A95" s="90" t="s">
        <v>936</v>
      </c>
      <c r="B95" s="168" t="s">
        <v>937</v>
      </c>
      <c r="C95" s="87"/>
      <c r="D95" s="87"/>
      <c r="E95" s="87"/>
      <c r="F95" s="87"/>
      <c r="G95" s="87"/>
      <c r="H95" s="87"/>
      <c r="I95" s="87"/>
      <c r="J95" s="87"/>
      <c r="K95" s="87"/>
      <c r="L95" s="92"/>
      <c r="M95" s="87"/>
      <c r="N95" s="87"/>
      <c r="O95" s="87">
        <v>5980.624</v>
      </c>
      <c r="P95" s="87">
        <v>5891.83</v>
      </c>
      <c r="Q95" s="87"/>
      <c r="R95" s="87">
        <v>0</v>
      </c>
    </row>
    <row r="96" spans="1:18" s="67" customFormat="1" ht="11.25">
      <c r="A96" s="73" t="s">
        <v>276</v>
      </c>
      <c r="B96" s="84" t="s">
        <v>277</v>
      </c>
      <c r="C96" s="75">
        <f aca="true" t="shared" si="39" ref="C96:N96">SUM(C97:C100)</f>
        <v>81011.581</v>
      </c>
      <c r="D96" s="75">
        <f t="shared" si="39"/>
        <v>0</v>
      </c>
      <c r="E96" s="75">
        <f t="shared" si="39"/>
        <v>0</v>
      </c>
      <c r="F96" s="75">
        <f t="shared" si="39"/>
        <v>0</v>
      </c>
      <c r="G96" s="75">
        <f t="shared" si="39"/>
        <v>0</v>
      </c>
      <c r="H96" s="75">
        <f>SUM(H97:H100)</f>
        <v>89081.704</v>
      </c>
      <c r="I96" s="75">
        <f>SUM(I97:I100)</f>
        <v>0</v>
      </c>
      <c r="J96" s="75">
        <f t="shared" si="39"/>
        <v>0</v>
      </c>
      <c r="K96" s="75">
        <f t="shared" si="39"/>
        <v>0</v>
      </c>
      <c r="L96" s="75">
        <f t="shared" si="39"/>
        <v>0</v>
      </c>
      <c r="M96" s="75">
        <f>SUM(M97:M100)</f>
        <v>92767.767</v>
      </c>
      <c r="N96" s="75">
        <f t="shared" si="39"/>
        <v>0</v>
      </c>
      <c r="O96" s="75">
        <f>SUM(O97:O100)</f>
        <v>96523.52100000001</v>
      </c>
      <c r="P96" s="75">
        <f>SUM(P97:P100)</f>
        <v>95001.87299999999</v>
      </c>
      <c r="Q96" s="75">
        <f>SUM(Q97:Q100)</f>
        <v>0</v>
      </c>
      <c r="R96" s="75">
        <f>SUM(R97:R100)</f>
        <v>92186.887</v>
      </c>
    </row>
    <row r="97" spans="1:18" s="67" customFormat="1" ht="22.5">
      <c r="A97" s="85" t="s">
        <v>278</v>
      </c>
      <c r="B97" s="86" t="s">
        <v>279</v>
      </c>
      <c r="C97" s="87">
        <v>35202.092</v>
      </c>
      <c r="D97" s="87"/>
      <c r="E97" s="87"/>
      <c r="F97" s="87"/>
      <c r="G97" s="87"/>
      <c r="H97" s="87">
        <v>48396.303</v>
      </c>
      <c r="I97" s="87"/>
      <c r="J97" s="87"/>
      <c r="K97" s="87"/>
      <c r="L97" s="92"/>
      <c r="M97" s="87">
        <v>46719.422000000006</v>
      </c>
      <c r="N97" s="87"/>
      <c r="O97" s="87">
        <v>44241.512</v>
      </c>
      <c r="P97" s="87">
        <v>43466.445</v>
      </c>
      <c r="Q97" s="87"/>
      <c r="R97" s="87">
        <v>46513.674</v>
      </c>
    </row>
    <row r="98" spans="1:18" s="67" customFormat="1" ht="22.5">
      <c r="A98" s="85" t="s">
        <v>280</v>
      </c>
      <c r="B98" s="86" t="s">
        <v>281</v>
      </c>
      <c r="C98" s="87">
        <v>7941.42</v>
      </c>
      <c r="D98" s="87"/>
      <c r="E98" s="87"/>
      <c r="F98" s="87"/>
      <c r="G98" s="87"/>
      <c r="H98" s="87">
        <v>8925.514</v>
      </c>
      <c r="I98" s="87"/>
      <c r="J98" s="87"/>
      <c r="K98" s="87"/>
      <c r="L98" s="92"/>
      <c r="M98" s="87">
        <v>8798.599999999999</v>
      </c>
      <c r="N98" s="87"/>
      <c r="O98" s="87">
        <v>9163.679</v>
      </c>
      <c r="P98" s="87">
        <v>9031.969</v>
      </c>
      <c r="Q98" s="87"/>
      <c r="R98" s="87">
        <v>9934.066</v>
      </c>
    </row>
    <row r="99" spans="1:18" s="67" customFormat="1" ht="22.5">
      <c r="A99" s="85" t="s">
        <v>282</v>
      </c>
      <c r="B99" s="86" t="s">
        <v>283</v>
      </c>
      <c r="C99" s="87">
        <v>16338.19</v>
      </c>
      <c r="D99" s="87"/>
      <c r="E99" s="87"/>
      <c r="F99" s="87"/>
      <c r="G99" s="87"/>
      <c r="H99" s="87">
        <v>17405.308</v>
      </c>
      <c r="I99" s="87"/>
      <c r="J99" s="87"/>
      <c r="K99" s="87"/>
      <c r="L99" s="92"/>
      <c r="M99" s="87">
        <v>18572.029</v>
      </c>
      <c r="N99" s="87"/>
      <c r="O99" s="87">
        <v>20305.809</v>
      </c>
      <c r="P99" s="87">
        <v>20041.884</v>
      </c>
      <c r="Q99" s="87"/>
      <c r="R99" s="87">
        <v>22083.191</v>
      </c>
    </row>
    <row r="100" spans="1:18" s="67" customFormat="1" ht="33.75">
      <c r="A100" s="85" t="s">
        <v>284</v>
      </c>
      <c r="B100" s="86" t="s">
        <v>285</v>
      </c>
      <c r="C100" s="87">
        <v>21529.879</v>
      </c>
      <c r="D100" s="87"/>
      <c r="E100" s="87"/>
      <c r="F100" s="87"/>
      <c r="G100" s="87"/>
      <c r="H100" s="87">
        <v>14354.579</v>
      </c>
      <c r="I100" s="87"/>
      <c r="J100" s="87"/>
      <c r="K100" s="87"/>
      <c r="L100" s="92"/>
      <c r="M100" s="87">
        <v>18677.716</v>
      </c>
      <c r="N100" s="87"/>
      <c r="O100" s="87">
        <v>22812.521</v>
      </c>
      <c r="P100" s="87">
        <v>22461.574999999997</v>
      </c>
      <c r="Q100" s="87"/>
      <c r="R100" s="87">
        <v>13655.956</v>
      </c>
    </row>
    <row r="101" spans="1:18" s="67" customFormat="1" ht="22.5">
      <c r="A101" s="90" t="s">
        <v>938</v>
      </c>
      <c r="B101" s="86"/>
      <c r="C101" s="87"/>
      <c r="D101" s="87"/>
      <c r="E101" s="87"/>
      <c r="F101" s="87"/>
      <c r="G101" s="87"/>
      <c r="H101" s="87"/>
      <c r="I101" s="87"/>
      <c r="J101" s="87"/>
      <c r="K101" s="87"/>
      <c r="L101" s="92"/>
      <c r="M101" s="87"/>
      <c r="N101" s="87"/>
      <c r="O101" s="87">
        <v>426.704</v>
      </c>
      <c r="P101" s="87">
        <v>420.141</v>
      </c>
      <c r="Q101" s="87"/>
      <c r="R101" s="87">
        <v>0</v>
      </c>
    </row>
    <row r="102" spans="1:18" s="67" customFormat="1" ht="11.25">
      <c r="A102" s="85" t="s">
        <v>286</v>
      </c>
      <c r="B102" s="86" t="s">
        <v>287</v>
      </c>
      <c r="C102" s="87">
        <v>1281.572</v>
      </c>
      <c r="D102" s="87">
        <v>1361.7</v>
      </c>
      <c r="E102" s="87">
        <v>1361.7</v>
      </c>
      <c r="F102" s="87">
        <v>1361.7</v>
      </c>
      <c r="G102" s="87">
        <v>1361.7</v>
      </c>
      <c r="H102" s="87">
        <v>1426.584</v>
      </c>
      <c r="I102" s="87">
        <f aca="true" t="shared" si="40" ref="I102:K103">D102*$J$4</f>
        <v>1424.6884160324116</v>
      </c>
      <c r="J102" s="87">
        <f t="shared" si="40"/>
        <v>1424.6884160324116</v>
      </c>
      <c r="K102" s="87">
        <f t="shared" si="40"/>
        <v>1424.6884160324116</v>
      </c>
      <c r="L102" s="87">
        <f>G102*$L$4</f>
        <v>1424.6884160324116</v>
      </c>
      <c r="M102" s="87">
        <v>1413.151</v>
      </c>
      <c r="N102" s="87">
        <f>L102*$N$4</f>
        <v>1455.9219164628091</v>
      </c>
      <c r="O102" s="87">
        <v>2051.713</v>
      </c>
      <c r="P102" s="87">
        <v>1996.7440000000001</v>
      </c>
      <c r="Q102" s="87">
        <f>N102*$Q$4</f>
        <v>1494.3733443714464</v>
      </c>
      <c r="R102" s="87">
        <v>0</v>
      </c>
    </row>
    <row r="103" spans="1:18" s="67" customFormat="1" ht="11.25">
      <c r="A103" s="73" t="s">
        <v>288</v>
      </c>
      <c r="B103" s="86"/>
      <c r="C103" s="87">
        <v>0</v>
      </c>
      <c r="D103" s="87">
        <v>0</v>
      </c>
      <c r="E103" s="87">
        <v>0</v>
      </c>
      <c r="F103" s="87">
        <v>0</v>
      </c>
      <c r="G103" s="87">
        <v>0</v>
      </c>
      <c r="H103" s="87"/>
      <c r="I103" s="87">
        <f t="shared" si="40"/>
        <v>0</v>
      </c>
      <c r="J103" s="87">
        <f t="shared" si="40"/>
        <v>0</v>
      </c>
      <c r="K103" s="87">
        <f t="shared" si="40"/>
        <v>0</v>
      </c>
      <c r="L103" s="87">
        <f>G103*$L$4</f>
        <v>0</v>
      </c>
      <c r="M103" s="87"/>
      <c r="N103" s="87">
        <f>L103*$N$4</f>
        <v>0</v>
      </c>
      <c r="O103" s="87">
        <v>0</v>
      </c>
      <c r="P103" s="87">
        <v>0</v>
      </c>
      <c r="Q103" s="87">
        <f>N103*$Q$4</f>
        <v>0</v>
      </c>
      <c r="R103" s="87">
        <v>0</v>
      </c>
    </row>
    <row r="104" spans="1:18" s="67" customFormat="1" ht="11.25">
      <c r="A104" s="73" t="s">
        <v>289</v>
      </c>
      <c r="B104" s="84" t="s">
        <v>290</v>
      </c>
      <c r="C104" s="75">
        <f aca="true" t="shared" si="41" ref="C104:K104">SUM(C105,C109,C165,C179,C186:C187,C108)</f>
        <v>99742.9941</v>
      </c>
      <c r="D104" s="75">
        <f t="shared" si="41"/>
        <v>100921.06038621854</v>
      </c>
      <c r="E104" s="75">
        <f t="shared" si="41"/>
        <v>98963.24038621853</v>
      </c>
      <c r="F104" s="75">
        <f t="shared" si="41"/>
        <v>86068.43138621855</v>
      </c>
      <c r="G104" s="75">
        <f t="shared" si="41"/>
        <v>98409.21038621853</v>
      </c>
      <c r="H104" s="75">
        <f t="shared" si="41"/>
        <v>103360.99743</v>
      </c>
      <c r="I104" s="75">
        <f t="shared" si="41"/>
        <v>105589.38508184845</v>
      </c>
      <c r="J104" s="75">
        <f t="shared" si="41"/>
        <v>103541.00182953401</v>
      </c>
      <c r="K104" s="75">
        <f t="shared" si="41"/>
        <v>90049.71519573033</v>
      </c>
      <c r="L104" s="75">
        <f aca="true" t="shared" si="42" ref="L104:R104">SUM(L105,L109,L165,L179,L186:L187,L108)</f>
        <v>102961.34395839175</v>
      </c>
      <c r="M104" s="75">
        <f t="shared" si="42"/>
        <v>139871.68900999997</v>
      </c>
      <c r="N104" s="75">
        <f t="shared" si="42"/>
        <v>105218.5695697254</v>
      </c>
      <c r="O104" s="75">
        <f t="shared" si="42"/>
        <v>163407.25555</v>
      </c>
      <c r="P104" s="75">
        <f t="shared" si="42"/>
        <v>160008.54462</v>
      </c>
      <c r="Q104" s="75">
        <f t="shared" si="42"/>
        <v>107997.43030168662</v>
      </c>
      <c r="R104" s="75">
        <f t="shared" si="42"/>
        <v>200207.12971</v>
      </c>
    </row>
    <row r="105" spans="1:18" s="67" customFormat="1" ht="11.25">
      <c r="A105" s="73" t="s">
        <v>291</v>
      </c>
      <c r="B105" s="84" t="s">
        <v>292</v>
      </c>
      <c r="C105" s="75">
        <f aca="true" t="shared" si="43" ref="C105:H105">SUM(C106:C107)</f>
        <v>5978.817999999999</v>
      </c>
      <c r="D105" s="75">
        <f t="shared" si="43"/>
        <v>5979.808999999999</v>
      </c>
      <c r="E105" s="75">
        <f t="shared" si="43"/>
        <v>5979.808999999999</v>
      </c>
      <c r="F105" s="75">
        <f t="shared" si="43"/>
        <v>0</v>
      </c>
      <c r="G105" s="75">
        <f t="shared" si="43"/>
        <v>5979.808999999999</v>
      </c>
      <c r="H105" s="75">
        <f t="shared" si="43"/>
        <v>6067.150000000001</v>
      </c>
      <c r="I105" s="75">
        <f>SUM(I106:I107)</f>
        <v>6256.418162874612</v>
      </c>
      <c r="J105" s="75">
        <f>SUM(J106:J107)</f>
        <v>6256.418162874612</v>
      </c>
      <c r="K105" s="75">
        <f>SUM(K106:K107)</f>
        <v>0</v>
      </c>
      <c r="L105" s="75">
        <f>SUM(L106:L107)</f>
        <v>6256.418162874612</v>
      </c>
      <c r="M105" s="75">
        <f aca="true" t="shared" si="44" ref="M105:R105">SUM(M106:M107)</f>
        <v>5877.197</v>
      </c>
      <c r="N105" s="75">
        <f>SUM(N106:N107)</f>
        <v>6393.577865434056</v>
      </c>
      <c r="O105" s="75">
        <f t="shared" si="44"/>
        <v>5601.157</v>
      </c>
      <c r="P105" s="75">
        <f t="shared" si="44"/>
        <v>5493.450000000001</v>
      </c>
      <c r="Q105" s="75">
        <f>SUM(Q106:Q107)</f>
        <v>6562.434584734137</v>
      </c>
      <c r="R105" s="75">
        <f t="shared" si="44"/>
        <v>5486.565</v>
      </c>
    </row>
    <row r="106" spans="1:18" s="67" customFormat="1" ht="22.5">
      <c r="A106" s="85" t="s">
        <v>293</v>
      </c>
      <c r="B106" s="86" t="s">
        <v>294</v>
      </c>
      <c r="C106" s="87">
        <v>5765.347</v>
      </c>
      <c r="D106" s="87">
        <v>5765.347</v>
      </c>
      <c r="E106" s="87">
        <v>5765.347</v>
      </c>
      <c r="F106" s="91">
        <v>0</v>
      </c>
      <c r="G106" s="167">
        <v>5765.347</v>
      </c>
      <c r="H106" s="87">
        <v>5761.707</v>
      </c>
      <c r="I106" s="87">
        <f aca="true" t="shared" si="45" ref="I106:K108">D106*$J$4</f>
        <v>6032.035753328351</v>
      </c>
      <c r="J106" s="87">
        <f t="shared" si="45"/>
        <v>6032.035753328351</v>
      </c>
      <c r="K106" s="87">
        <f t="shared" si="45"/>
        <v>0</v>
      </c>
      <c r="L106" s="87">
        <f>G106*$L$4</f>
        <v>6032.035753328351</v>
      </c>
      <c r="M106" s="87">
        <v>5571.761</v>
      </c>
      <c r="N106" s="87">
        <f>L106*$N$4</f>
        <v>6164.27631145855</v>
      </c>
      <c r="O106" s="87">
        <v>5308.518</v>
      </c>
      <c r="P106" s="87">
        <v>5206.092000000001</v>
      </c>
      <c r="Q106" s="87">
        <f>N106*$Q$4</f>
        <v>6327.077093230437</v>
      </c>
      <c r="R106" s="87">
        <v>5206.092</v>
      </c>
    </row>
    <row r="107" spans="1:18" s="67" customFormat="1" ht="11.25">
      <c r="A107" s="85" t="s">
        <v>295</v>
      </c>
      <c r="B107" s="86" t="s">
        <v>296</v>
      </c>
      <c r="C107" s="87">
        <v>213.471</v>
      </c>
      <c r="D107" s="87">
        <v>214.462</v>
      </c>
      <c r="E107" s="87">
        <v>214.462</v>
      </c>
      <c r="F107" s="91">
        <v>0</v>
      </c>
      <c r="G107" s="167">
        <v>214.462</v>
      </c>
      <c r="H107" s="87">
        <v>305.443</v>
      </c>
      <c r="I107" s="87">
        <f t="shared" si="45"/>
        <v>224.3824095462606</v>
      </c>
      <c r="J107" s="87">
        <f t="shared" si="45"/>
        <v>224.3824095462606</v>
      </c>
      <c r="K107" s="87">
        <f t="shared" si="45"/>
        <v>0</v>
      </c>
      <c r="L107" s="87">
        <f>G107*$L$4</f>
        <v>224.3824095462606</v>
      </c>
      <c r="M107" s="87">
        <v>305.43600000000004</v>
      </c>
      <c r="N107" s="87">
        <f>L107*$N$4</f>
        <v>229.30155397550632</v>
      </c>
      <c r="O107" s="87">
        <v>292.639</v>
      </c>
      <c r="P107" s="87">
        <v>287.358</v>
      </c>
      <c r="Q107" s="87">
        <f>N107*$Q$4</f>
        <v>235.3574915037006</v>
      </c>
      <c r="R107" s="87">
        <v>280.473</v>
      </c>
    </row>
    <row r="108" spans="1:18" s="67" customFormat="1" ht="11.25">
      <c r="A108" s="85" t="s">
        <v>297</v>
      </c>
      <c r="B108" s="86"/>
      <c r="C108" s="87">
        <v>38619.8831</v>
      </c>
      <c r="D108" s="87">
        <v>38934.191</v>
      </c>
      <c r="E108" s="87">
        <v>38934.191</v>
      </c>
      <c r="F108" s="87">
        <v>38934.191</v>
      </c>
      <c r="G108" s="87">
        <v>38934.191</v>
      </c>
      <c r="H108" s="87">
        <v>42447.59443</v>
      </c>
      <c r="I108" s="87">
        <f t="shared" si="45"/>
        <v>40735.177282289325</v>
      </c>
      <c r="J108" s="87">
        <f t="shared" si="45"/>
        <v>40735.177282289325</v>
      </c>
      <c r="K108" s="87">
        <f t="shared" si="45"/>
        <v>40735.177282289325</v>
      </c>
      <c r="L108" s="87">
        <f>G108*$L$4</f>
        <v>40735.177282289325</v>
      </c>
      <c r="M108" s="87">
        <v>47375.74101</v>
      </c>
      <c r="N108" s="87">
        <f>L108*$N$4</f>
        <v>41628.216183189434</v>
      </c>
      <c r="O108" s="87">
        <v>50972.68755</v>
      </c>
      <c r="P108" s="87">
        <v>48897.94262</v>
      </c>
      <c r="Q108" s="87">
        <f>N108*$Q$4</f>
        <v>42727.63252924041</v>
      </c>
      <c r="R108" s="87">
        <v>79527.45771</v>
      </c>
    </row>
    <row r="109" spans="1:18" s="67" customFormat="1" ht="11.25">
      <c r="A109" s="73" t="s">
        <v>298</v>
      </c>
      <c r="B109" s="84" t="s">
        <v>299</v>
      </c>
      <c r="C109" s="75">
        <f aca="true" t="shared" si="46" ref="C109:K109">SUM(C110,C118,C124,C128,C135:C137,C144:C148,C150)</f>
        <v>36338.626</v>
      </c>
      <c r="D109" s="75">
        <f t="shared" si="46"/>
        <v>36377.77947501853</v>
      </c>
      <c r="E109" s="75">
        <f t="shared" si="46"/>
        <v>35195.23947501853</v>
      </c>
      <c r="F109" s="75">
        <f t="shared" si="46"/>
        <v>32327.059475018537</v>
      </c>
      <c r="G109" s="75">
        <f t="shared" si="46"/>
        <v>34752.95947501853</v>
      </c>
      <c r="H109" s="75">
        <f t="shared" si="46"/>
        <v>38698.884999999995</v>
      </c>
      <c r="I109" s="75">
        <f t="shared" si="46"/>
        <v>38060.51334290998</v>
      </c>
      <c r="J109" s="75">
        <f t="shared" si="46"/>
        <v>36823.27236509184</v>
      </c>
      <c r="K109" s="75">
        <f t="shared" si="46"/>
        <v>33822.41841701529</v>
      </c>
      <c r="L109" s="75">
        <f aca="true" t="shared" si="47" ref="L109:R109">SUM(L110,L118,L124,L128,L135:L137,L144:L148,L150)</f>
        <v>36360.53373496567</v>
      </c>
      <c r="M109" s="75">
        <f t="shared" si="47"/>
        <v>36752.676</v>
      </c>
      <c r="N109" s="75">
        <f t="shared" si="47"/>
        <v>37157.66715254705</v>
      </c>
      <c r="O109" s="75">
        <f t="shared" si="47"/>
        <v>48968.4</v>
      </c>
      <c r="P109" s="75">
        <f t="shared" si="47"/>
        <v>48131.613000000005</v>
      </c>
      <c r="Q109" s="75">
        <f t="shared" si="47"/>
        <v>38139.01467099125</v>
      </c>
      <c r="R109" s="75">
        <f t="shared" si="47"/>
        <v>43612.234</v>
      </c>
    </row>
    <row r="110" spans="1:18" s="67" customFormat="1" ht="11.25">
      <c r="A110" s="73" t="s">
        <v>300</v>
      </c>
      <c r="B110" s="84" t="s">
        <v>301</v>
      </c>
      <c r="C110" s="75">
        <f aca="true" t="shared" si="48" ref="C110:H110">SUM(C111:C117)</f>
        <v>5156.576</v>
      </c>
      <c r="D110" s="75">
        <f t="shared" si="48"/>
        <v>5519.871068</v>
      </c>
      <c r="E110" s="75">
        <f t="shared" si="48"/>
        <v>5519.871068</v>
      </c>
      <c r="F110" s="75">
        <f t="shared" si="48"/>
        <v>5519.871068</v>
      </c>
      <c r="G110" s="75">
        <f t="shared" si="48"/>
        <v>5519.871068</v>
      </c>
      <c r="H110" s="75">
        <f t="shared" si="48"/>
        <v>5171.027999999999</v>
      </c>
      <c r="I110" s="75">
        <f>SUM(I111:I117)</f>
        <v>5775.204794427595</v>
      </c>
      <c r="J110" s="75">
        <f>SUM(J111:J117)</f>
        <v>5775.204794427595</v>
      </c>
      <c r="K110" s="75">
        <f>SUM(K111:K117)</f>
        <v>5775.204794427595</v>
      </c>
      <c r="L110" s="75">
        <f>SUM(L111:L117)</f>
        <v>5775.204794427595</v>
      </c>
      <c r="M110" s="75">
        <f aca="true" t="shared" si="49" ref="M110:R110">SUM(M111:M117)</f>
        <v>4834.648999999999</v>
      </c>
      <c r="N110" s="75">
        <f>SUM(N111:N117)</f>
        <v>5901.814837299092</v>
      </c>
      <c r="O110" s="75">
        <f t="shared" si="49"/>
        <v>5410.401</v>
      </c>
      <c r="P110" s="75">
        <f t="shared" si="49"/>
        <v>5352.098</v>
      </c>
      <c r="Q110" s="75">
        <f>SUM(Q111:Q117)</f>
        <v>6057.683915977342</v>
      </c>
      <c r="R110" s="75">
        <f t="shared" si="49"/>
        <v>7379.941</v>
      </c>
    </row>
    <row r="111" spans="1:18" s="67" customFormat="1" ht="22.5" customHeight="1">
      <c r="A111" s="85" t="s">
        <v>302</v>
      </c>
      <c r="B111" s="86" t="s">
        <v>303</v>
      </c>
      <c r="C111" s="87">
        <v>521.453</v>
      </c>
      <c r="D111" s="87">
        <v>561.073</v>
      </c>
      <c r="E111" s="87">
        <v>561.073</v>
      </c>
      <c r="F111" s="87">
        <v>561.073</v>
      </c>
      <c r="G111" s="87">
        <v>561.073</v>
      </c>
      <c r="H111" s="87">
        <v>602.782</v>
      </c>
      <c r="I111" s="87">
        <f aca="true" t="shared" si="50" ref="I111:K117">D111*$J$4</f>
        <v>587.0266605335634</v>
      </c>
      <c r="J111" s="87">
        <f t="shared" si="50"/>
        <v>587.0266605335634</v>
      </c>
      <c r="K111" s="87">
        <f t="shared" si="50"/>
        <v>587.0266605335634</v>
      </c>
      <c r="L111" s="87">
        <f aca="true" t="shared" si="51" ref="L111:L117">G111*$L$4</f>
        <v>587.0266605335634</v>
      </c>
      <c r="M111" s="87">
        <v>768.9300000000001</v>
      </c>
      <c r="N111" s="87">
        <f>J111*$N$4</f>
        <v>599.8960692043311</v>
      </c>
      <c r="O111" s="87">
        <v>1041.667</v>
      </c>
      <c r="P111" s="87">
        <v>1024.011</v>
      </c>
      <c r="Q111" s="87">
        <f aca="true" t="shared" si="52" ref="Q111:Q117">N111*$Q$4</f>
        <v>615.7395428115741</v>
      </c>
      <c r="R111" s="87">
        <v>1820.816</v>
      </c>
    </row>
    <row r="112" spans="1:18" s="67" customFormat="1" ht="22.5">
      <c r="A112" s="85" t="s">
        <v>304</v>
      </c>
      <c r="B112" s="86" t="s">
        <v>305</v>
      </c>
      <c r="C112" s="87">
        <v>688.279</v>
      </c>
      <c r="D112" s="87">
        <v>747.163</v>
      </c>
      <c r="E112" s="87">
        <v>747.163</v>
      </c>
      <c r="F112" s="87">
        <v>747.163</v>
      </c>
      <c r="G112" s="87">
        <v>747.163</v>
      </c>
      <c r="H112" s="87">
        <v>644.36</v>
      </c>
      <c r="I112" s="87">
        <f t="shared" si="50"/>
        <v>781.7246610766136</v>
      </c>
      <c r="J112" s="87">
        <f t="shared" si="50"/>
        <v>781.7246610766136</v>
      </c>
      <c r="K112" s="87">
        <f t="shared" si="50"/>
        <v>781.7246610766136</v>
      </c>
      <c r="L112" s="87">
        <f t="shared" si="51"/>
        <v>781.7246610766136</v>
      </c>
      <c r="M112" s="87">
        <v>643.942</v>
      </c>
      <c r="N112" s="87">
        <f aca="true" t="shared" si="53" ref="N112:N117">L112*$N$4</f>
        <v>798.8624417052962</v>
      </c>
      <c r="O112" s="87">
        <v>640.101</v>
      </c>
      <c r="P112" s="87">
        <v>629.434</v>
      </c>
      <c r="Q112" s="87">
        <f t="shared" si="52"/>
        <v>819.9606896530829</v>
      </c>
      <c r="R112" s="87">
        <v>717.219</v>
      </c>
    </row>
    <row r="113" spans="1:18" s="67" customFormat="1" ht="22.5">
      <c r="A113" s="85" t="s">
        <v>306</v>
      </c>
      <c r="B113" s="86" t="s">
        <v>307</v>
      </c>
      <c r="C113" s="87">
        <v>58.861</v>
      </c>
      <c r="D113" s="87">
        <v>59.553</v>
      </c>
      <c r="E113" s="87">
        <v>59.553</v>
      </c>
      <c r="F113" s="87">
        <v>59.553</v>
      </c>
      <c r="G113" s="87">
        <v>59.553</v>
      </c>
      <c r="H113" s="87">
        <v>80.669</v>
      </c>
      <c r="I113" s="87">
        <f t="shared" si="50"/>
        <v>62.30775445397533</v>
      </c>
      <c r="J113" s="87">
        <f t="shared" si="50"/>
        <v>62.30775445397533</v>
      </c>
      <c r="K113" s="87">
        <f t="shared" si="50"/>
        <v>62.30775445397533</v>
      </c>
      <c r="L113" s="87">
        <f t="shared" si="51"/>
        <v>62.30775445397533</v>
      </c>
      <c r="M113" s="87">
        <v>59.892</v>
      </c>
      <c r="N113" s="87">
        <f t="shared" si="53"/>
        <v>63.6737298164865</v>
      </c>
      <c r="O113" s="87">
        <v>60.48</v>
      </c>
      <c r="P113" s="87">
        <v>59.723</v>
      </c>
      <c r="Q113" s="87">
        <f t="shared" si="52"/>
        <v>65.35537620426874</v>
      </c>
      <c r="R113" s="87">
        <v>59.196</v>
      </c>
    </row>
    <row r="114" spans="1:18" s="67" customFormat="1" ht="22.5">
      <c r="A114" s="85" t="s">
        <v>308</v>
      </c>
      <c r="B114" s="86" t="s">
        <v>309</v>
      </c>
      <c r="C114" s="87">
        <v>51.455</v>
      </c>
      <c r="D114" s="87">
        <v>54.951</v>
      </c>
      <c r="E114" s="87">
        <v>54.951</v>
      </c>
      <c r="F114" s="87">
        <v>54.951</v>
      </c>
      <c r="G114" s="87">
        <v>54.951</v>
      </c>
      <c r="H114" s="87">
        <v>51.626</v>
      </c>
      <c r="I114" s="87">
        <f t="shared" si="50"/>
        <v>57.49287886421168</v>
      </c>
      <c r="J114" s="87">
        <f t="shared" si="50"/>
        <v>57.49287886421168</v>
      </c>
      <c r="K114" s="87">
        <f t="shared" si="50"/>
        <v>57.49287886421168</v>
      </c>
      <c r="L114" s="87">
        <f t="shared" si="51"/>
        <v>57.49287886421168</v>
      </c>
      <c r="M114" s="87">
        <v>95.483</v>
      </c>
      <c r="N114" s="87">
        <f t="shared" si="53"/>
        <v>58.7532975189453</v>
      </c>
      <c r="O114" s="87">
        <v>159.64</v>
      </c>
      <c r="P114" s="87">
        <v>156.969</v>
      </c>
      <c r="Q114" s="87">
        <f t="shared" si="52"/>
        <v>60.30499349824142</v>
      </c>
      <c r="R114" s="87">
        <v>163.494</v>
      </c>
    </row>
    <row r="115" spans="1:18" s="67" customFormat="1" ht="22.5">
      <c r="A115" s="85" t="s">
        <v>310</v>
      </c>
      <c r="B115" s="86" t="s">
        <v>311</v>
      </c>
      <c r="C115" s="87">
        <v>7.909</v>
      </c>
      <c r="D115" s="87">
        <v>30</v>
      </c>
      <c r="E115" s="87">
        <v>30</v>
      </c>
      <c r="F115" s="87">
        <v>30</v>
      </c>
      <c r="G115" s="87">
        <v>30</v>
      </c>
      <c r="H115" s="87">
        <v>8.252</v>
      </c>
      <c r="I115" s="87">
        <f t="shared" si="50"/>
        <v>31.387715709019865</v>
      </c>
      <c r="J115" s="87">
        <f t="shared" si="50"/>
        <v>31.387715709019865</v>
      </c>
      <c r="K115" s="87">
        <f t="shared" si="50"/>
        <v>31.387715709019865</v>
      </c>
      <c r="L115" s="87">
        <f t="shared" si="51"/>
        <v>31.387715709019865</v>
      </c>
      <c r="M115" s="87">
        <v>10.317</v>
      </c>
      <c r="N115" s="87">
        <f t="shared" si="53"/>
        <v>32.07582984055539</v>
      </c>
      <c r="O115" s="87">
        <v>6.398</v>
      </c>
      <c r="P115" s="87">
        <v>6.2909999999999995</v>
      </c>
      <c r="Q115" s="87">
        <f t="shared" si="52"/>
        <v>32.922964185314974</v>
      </c>
      <c r="R115" s="87">
        <v>30.538</v>
      </c>
    </row>
    <row r="116" spans="1:18" s="67" customFormat="1" ht="22.5">
      <c r="A116" s="85" t="s">
        <v>312</v>
      </c>
      <c r="B116" s="86" t="s">
        <v>313</v>
      </c>
      <c r="C116" s="87">
        <v>2877.092</v>
      </c>
      <c r="D116" s="87">
        <v>3000.079368</v>
      </c>
      <c r="E116" s="87">
        <v>3000.079368</v>
      </c>
      <c r="F116" s="87">
        <v>3000.079368</v>
      </c>
      <c r="G116" s="87">
        <v>3000.079368</v>
      </c>
      <c r="H116" s="87">
        <v>2961.479</v>
      </c>
      <c r="I116" s="87">
        <f t="shared" si="50"/>
        <v>3138.8546102426662</v>
      </c>
      <c r="J116" s="87">
        <f t="shared" si="50"/>
        <v>3138.8546102426662</v>
      </c>
      <c r="K116" s="87">
        <f t="shared" si="50"/>
        <v>3138.8546102426662</v>
      </c>
      <c r="L116" s="87">
        <f t="shared" si="51"/>
        <v>3138.8546102426662</v>
      </c>
      <c r="M116" s="87">
        <v>2671.525</v>
      </c>
      <c r="N116" s="87">
        <f t="shared" si="53"/>
        <v>3207.667843870965</v>
      </c>
      <c r="O116" s="87">
        <v>2782.115</v>
      </c>
      <c r="P116" s="87">
        <v>2767.67</v>
      </c>
      <c r="Q116" s="87">
        <f t="shared" si="52"/>
        <v>3292.3835195255456</v>
      </c>
      <c r="R116" s="87">
        <v>3392.915</v>
      </c>
    </row>
    <row r="117" spans="1:18" s="67" customFormat="1" ht="22.5">
      <c r="A117" s="85" t="s">
        <v>314</v>
      </c>
      <c r="B117" s="86" t="s">
        <v>315</v>
      </c>
      <c r="C117" s="87">
        <v>951.527</v>
      </c>
      <c r="D117" s="87">
        <v>1067.0517</v>
      </c>
      <c r="E117" s="87">
        <v>1067.0517</v>
      </c>
      <c r="F117" s="87">
        <v>1067.0517</v>
      </c>
      <c r="G117" s="87">
        <v>1067.0517</v>
      </c>
      <c r="H117" s="87">
        <v>821.86</v>
      </c>
      <c r="I117" s="87">
        <f t="shared" si="50"/>
        <v>1116.410513547545</v>
      </c>
      <c r="J117" s="87">
        <f t="shared" si="50"/>
        <v>1116.410513547545</v>
      </c>
      <c r="K117" s="87">
        <f t="shared" si="50"/>
        <v>1116.410513547545</v>
      </c>
      <c r="L117" s="87">
        <f t="shared" si="51"/>
        <v>1116.410513547545</v>
      </c>
      <c r="M117" s="87">
        <v>584.56</v>
      </c>
      <c r="N117" s="87">
        <f t="shared" si="53"/>
        <v>1140.8856253425117</v>
      </c>
      <c r="O117" s="87">
        <v>720</v>
      </c>
      <c r="P117" s="87">
        <v>708</v>
      </c>
      <c r="Q117" s="87">
        <f t="shared" si="52"/>
        <v>1171.0168300993148</v>
      </c>
      <c r="R117" s="87">
        <v>1195.763</v>
      </c>
    </row>
    <row r="118" spans="1:18" s="67" customFormat="1" ht="11.25">
      <c r="A118" s="73" t="s">
        <v>316</v>
      </c>
      <c r="B118" s="84" t="s">
        <v>317</v>
      </c>
      <c r="C118" s="75">
        <f aca="true" t="shared" si="54" ref="C118:R118">SUM(C119:C123)</f>
        <v>2061.534</v>
      </c>
      <c r="D118" s="75">
        <f>SUM(D119:D123)</f>
        <v>2530.764</v>
      </c>
      <c r="E118" s="75">
        <f>SUM(E119:E123)</f>
        <v>2530.764</v>
      </c>
      <c r="F118" s="75">
        <f>SUM(F119:F123)</f>
        <v>2530.764</v>
      </c>
      <c r="G118" s="75">
        <f>SUM(G119:G123)</f>
        <v>2530.764</v>
      </c>
      <c r="H118" s="75">
        <f t="shared" si="54"/>
        <v>2059.555</v>
      </c>
      <c r="I118" s="75">
        <f t="shared" si="54"/>
        <v>2647.830031954065</v>
      </c>
      <c r="J118" s="75">
        <f t="shared" si="54"/>
        <v>2647.830031954065</v>
      </c>
      <c r="K118" s="75">
        <f t="shared" si="54"/>
        <v>2647.830031954065</v>
      </c>
      <c r="L118" s="75">
        <f t="shared" si="54"/>
        <v>2647.830031954065</v>
      </c>
      <c r="M118" s="75">
        <f t="shared" si="54"/>
        <v>2028.941</v>
      </c>
      <c r="N118" s="75">
        <f t="shared" si="54"/>
        <v>2705.878514353444</v>
      </c>
      <c r="O118" s="75">
        <f t="shared" si="54"/>
        <v>2298.4519999999998</v>
      </c>
      <c r="P118" s="75">
        <f t="shared" si="54"/>
        <v>2241.367</v>
      </c>
      <c r="Q118" s="75">
        <f t="shared" si="54"/>
        <v>2777.3417511161483</v>
      </c>
      <c r="R118" s="75">
        <f t="shared" si="54"/>
        <v>2888.3669999999997</v>
      </c>
    </row>
    <row r="119" spans="1:18" s="67" customFormat="1" ht="22.5">
      <c r="A119" s="85" t="s">
        <v>318</v>
      </c>
      <c r="B119" s="86" t="s">
        <v>319</v>
      </c>
      <c r="C119" s="87">
        <v>178.072</v>
      </c>
      <c r="D119" s="87">
        <v>315.727</v>
      </c>
      <c r="E119" s="87">
        <v>315.727</v>
      </c>
      <c r="F119" s="87">
        <v>315.727</v>
      </c>
      <c r="G119" s="87">
        <v>315.727</v>
      </c>
      <c r="H119" s="87">
        <v>177.023</v>
      </c>
      <c r="I119" s="87">
        <f aca="true" t="shared" si="55" ref="I119:K121">D119*$J$4</f>
        <v>330.33164392205714</v>
      </c>
      <c r="J119" s="87">
        <f t="shared" si="55"/>
        <v>330.33164392205714</v>
      </c>
      <c r="K119" s="87">
        <f t="shared" si="55"/>
        <v>330.33164392205714</v>
      </c>
      <c r="L119" s="87">
        <f>G119*$L$4</f>
        <v>330.33164392205714</v>
      </c>
      <c r="M119" s="87">
        <v>189.55200000000002</v>
      </c>
      <c r="N119" s="87">
        <f>L119*$N$4</f>
        <v>337.573517602301</v>
      </c>
      <c r="O119" s="87">
        <v>229.305</v>
      </c>
      <c r="P119" s="87">
        <v>222.375</v>
      </c>
      <c r="Q119" s="87">
        <f>N119*$Q$4</f>
        <v>346.4889571112313</v>
      </c>
      <c r="R119" s="87">
        <v>305.59</v>
      </c>
    </row>
    <row r="120" spans="1:18" s="67" customFormat="1" ht="11.25">
      <c r="A120" s="85" t="s">
        <v>320</v>
      </c>
      <c r="B120" s="86" t="s">
        <v>321</v>
      </c>
      <c r="C120" s="87">
        <v>431.359</v>
      </c>
      <c r="D120" s="87">
        <v>394.292</v>
      </c>
      <c r="E120" s="87">
        <v>394.292</v>
      </c>
      <c r="F120" s="87">
        <v>394.292</v>
      </c>
      <c r="G120" s="87">
        <v>394.292</v>
      </c>
      <c r="H120" s="87">
        <v>308.742</v>
      </c>
      <c r="I120" s="87">
        <f t="shared" si="55"/>
        <v>412.53084007802863</v>
      </c>
      <c r="J120" s="87">
        <f t="shared" si="55"/>
        <v>412.53084007802863</v>
      </c>
      <c r="K120" s="87">
        <f t="shared" si="55"/>
        <v>412.53084007802863</v>
      </c>
      <c r="L120" s="87">
        <f>G120*$L$4</f>
        <v>412.53084007802863</v>
      </c>
      <c r="M120" s="87">
        <v>413.297</v>
      </c>
      <c r="N120" s="87">
        <f>L120*$N$4</f>
        <v>421.57476998307544</v>
      </c>
      <c r="O120" s="87">
        <v>602.891</v>
      </c>
      <c r="P120" s="87">
        <v>576.6030000000001</v>
      </c>
      <c r="Q120" s="87">
        <f>N120*$Q$4</f>
        <v>432.70871315187355</v>
      </c>
      <c r="R120" s="87">
        <v>740.101</v>
      </c>
    </row>
    <row r="121" spans="1:18" s="67" customFormat="1" ht="22.5">
      <c r="A121" s="85" t="s">
        <v>322</v>
      </c>
      <c r="B121" s="86" t="s">
        <v>323</v>
      </c>
      <c r="C121" s="87">
        <v>1352.367</v>
      </c>
      <c r="D121" s="87">
        <v>1697.554</v>
      </c>
      <c r="E121" s="87">
        <v>1697.554</v>
      </c>
      <c r="F121" s="87">
        <v>1697.554</v>
      </c>
      <c r="G121" s="87">
        <v>1697.554</v>
      </c>
      <c r="H121" s="87">
        <v>1475.574</v>
      </c>
      <c r="I121" s="87">
        <f t="shared" si="55"/>
        <v>1776.0780784236504</v>
      </c>
      <c r="J121" s="87">
        <f t="shared" si="55"/>
        <v>1776.0780784236504</v>
      </c>
      <c r="K121" s="87">
        <f t="shared" si="55"/>
        <v>1776.0780784236504</v>
      </c>
      <c r="L121" s="87">
        <f>G121*$L$4</f>
        <v>1776.0780784236504</v>
      </c>
      <c r="M121" s="87">
        <v>1324.675</v>
      </c>
      <c r="N121" s="87">
        <f>L121*$N$4</f>
        <v>1815.015108305139</v>
      </c>
      <c r="O121" s="87">
        <v>1349.085</v>
      </c>
      <c r="P121" s="87">
        <v>1327.103</v>
      </c>
      <c r="Q121" s="87">
        <f>N121*$Q$4</f>
        <v>1862.9503181546056</v>
      </c>
      <c r="R121" s="87">
        <v>1737.862</v>
      </c>
    </row>
    <row r="122" spans="1:18" s="67" customFormat="1" ht="22.5">
      <c r="A122" s="85" t="s">
        <v>854</v>
      </c>
      <c r="B122" s="86" t="s">
        <v>939</v>
      </c>
      <c r="C122" s="87"/>
      <c r="D122" s="87"/>
      <c r="E122" s="87"/>
      <c r="F122" s="87"/>
      <c r="G122" s="87"/>
      <c r="H122" s="87"/>
      <c r="I122" s="87"/>
      <c r="J122" s="87"/>
      <c r="K122" s="87"/>
      <c r="L122" s="87"/>
      <c r="M122" s="87">
        <v>4.6899999999999995</v>
      </c>
      <c r="N122" s="87"/>
      <c r="O122" s="87">
        <v>37.611</v>
      </c>
      <c r="P122" s="87">
        <v>36.985</v>
      </c>
      <c r="Q122" s="87"/>
      <c r="R122" s="87">
        <v>0</v>
      </c>
    </row>
    <row r="123" spans="1:18" s="67" customFormat="1" ht="11.25">
      <c r="A123" s="85" t="s">
        <v>324</v>
      </c>
      <c r="B123" s="86" t="s">
        <v>325</v>
      </c>
      <c r="C123" s="87">
        <v>99.736</v>
      </c>
      <c r="D123" s="87">
        <v>123.191</v>
      </c>
      <c r="E123" s="87">
        <v>123.191</v>
      </c>
      <c r="F123" s="87">
        <v>123.191</v>
      </c>
      <c r="G123" s="87">
        <v>123.191</v>
      </c>
      <c r="H123" s="87">
        <v>98.216</v>
      </c>
      <c r="I123" s="87">
        <f>D123*$J$4</f>
        <v>128.88946953032888</v>
      </c>
      <c r="J123" s="87">
        <f>E123*$J$4</f>
        <v>128.88946953032888</v>
      </c>
      <c r="K123" s="87">
        <f>F123*$J$4</f>
        <v>128.88946953032888</v>
      </c>
      <c r="L123" s="87">
        <f>G123*$L$4</f>
        <v>128.88946953032888</v>
      </c>
      <c r="M123" s="87">
        <v>96.727</v>
      </c>
      <c r="N123" s="87">
        <f>L123*$N$4</f>
        <v>131.71511846292864</v>
      </c>
      <c r="O123" s="87">
        <v>79.56</v>
      </c>
      <c r="P123" s="87">
        <v>78.301</v>
      </c>
      <c r="Q123" s="87">
        <f>N123*$Q$4</f>
        <v>135.1937626984379</v>
      </c>
      <c r="R123" s="87">
        <v>104.814</v>
      </c>
    </row>
    <row r="124" spans="1:18" s="67" customFormat="1" ht="11.25">
      <c r="A124" s="73" t="s">
        <v>326</v>
      </c>
      <c r="B124" s="84" t="s">
        <v>327</v>
      </c>
      <c r="C124" s="75">
        <f aca="true" t="shared" si="56" ref="C124:N124">SUM(C125:C127)</f>
        <v>3276.724</v>
      </c>
      <c r="D124" s="75">
        <f t="shared" si="56"/>
        <v>991.4422628375347</v>
      </c>
      <c r="E124" s="75">
        <f t="shared" si="56"/>
        <v>991.4422628375347</v>
      </c>
      <c r="F124" s="75">
        <f t="shared" si="56"/>
        <v>991.4422628375347</v>
      </c>
      <c r="G124" s="75">
        <f t="shared" si="56"/>
        <v>991.4422628375347</v>
      </c>
      <c r="H124" s="75">
        <f>SUM(H125:H127)</f>
        <v>4900.767</v>
      </c>
      <c r="I124" s="75">
        <f>SUM(I125:I127)</f>
        <v>1037.3035962617296</v>
      </c>
      <c r="J124" s="75">
        <f t="shared" si="56"/>
        <v>1037.3035962617296</v>
      </c>
      <c r="K124" s="75">
        <f t="shared" si="56"/>
        <v>1037.3035962617296</v>
      </c>
      <c r="L124" s="75">
        <f t="shared" si="56"/>
        <v>1037.3035962617296</v>
      </c>
      <c r="M124" s="75">
        <f>SUM(M125:M127)</f>
        <v>5147.111</v>
      </c>
      <c r="N124" s="75">
        <f t="shared" si="56"/>
        <v>1060.0444439837318</v>
      </c>
      <c r="O124" s="75">
        <f>SUM(O125:O127)</f>
        <v>9256.283</v>
      </c>
      <c r="P124" s="75">
        <f>SUM(P125:P127)</f>
        <v>9090.742</v>
      </c>
      <c r="Q124" s="75">
        <f>SUM(Q125:Q127)</f>
        <v>1088.040603706926</v>
      </c>
      <c r="R124" s="75">
        <f>SUM(R125:R127)</f>
        <v>3053.7610000000004</v>
      </c>
    </row>
    <row r="125" spans="1:18" s="67" customFormat="1" ht="11.25" customHeight="1">
      <c r="A125" s="85" t="s">
        <v>328</v>
      </c>
      <c r="B125" s="86" t="s">
        <v>329</v>
      </c>
      <c r="C125" s="87">
        <v>195.254</v>
      </c>
      <c r="D125" s="87">
        <v>991.4422628375347</v>
      </c>
      <c r="E125" s="87">
        <v>991.4422628375347</v>
      </c>
      <c r="F125" s="87">
        <v>991.4422628375347</v>
      </c>
      <c r="G125" s="87">
        <v>991.4422628375347</v>
      </c>
      <c r="H125" s="87">
        <v>762.13</v>
      </c>
      <c r="I125" s="87">
        <f aca="true" t="shared" si="57" ref="I125:K127">D125*$J$4</f>
        <v>1037.3035962617296</v>
      </c>
      <c r="J125" s="87">
        <f t="shared" si="57"/>
        <v>1037.3035962617296</v>
      </c>
      <c r="K125" s="87">
        <f t="shared" si="57"/>
        <v>1037.3035962617296</v>
      </c>
      <c r="L125" s="87">
        <f>G125*$L$4</f>
        <v>1037.3035962617296</v>
      </c>
      <c r="M125" s="87">
        <v>638.971</v>
      </c>
      <c r="N125" s="87">
        <f>L125*$N$4</f>
        <v>1060.0444439837318</v>
      </c>
      <c r="O125" s="87">
        <v>2054.676</v>
      </c>
      <c r="P125" s="87">
        <v>2016.673</v>
      </c>
      <c r="Q125" s="87">
        <f>N125*$Q$4</f>
        <v>1088.040603706926</v>
      </c>
      <c r="R125" s="87">
        <v>570.921</v>
      </c>
    </row>
    <row r="126" spans="1:18" s="67" customFormat="1" ht="11.25">
      <c r="A126" s="85" t="s">
        <v>330</v>
      </c>
      <c r="B126" s="86" t="s">
        <v>331</v>
      </c>
      <c r="C126" s="87">
        <v>2461.135</v>
      </c>
      <c r="D126" s="87">
        <v>0</v>
      </c>
      <c r="E126" s="87">
        <v>0</v>
      </c>
      <c r="F126" s="87">
        <v>0</v>
      </c>
      <c r="G126" s="87">
        <v>0</v>
      </c>
      <c r="H126" s="87">
        <v>3934.392</v>
      </c>
      <c r="I126" s="87">
        <f t="shared" si="57"/>
        <v>0</v>
      </c>
      <c r="J126" s="87">
        <f t="shared" si="57"/>
        <v>0</v>
      </c>
      <c r="K126" s="87">
        <f t="shared" si="57"/>
        <v>0</v>
      </c>
      <c r="L126" s="87">
        <f>G126*$L$4</f>
        <v>0</v>
      </c>
      <c r="M126" s="87">
        <v>3782.5559999999996</v>
      </c>
      <c r="N126" s="87">
        <f>L126*$N$4</f>
        <v>0</v>
      </c>
      <c r="O126" s="87">
        <v>5569.614</v>
      </c>
      <c r="P126" s="87">
        <v>5472.727</v>
      </c>
      <c r="Q126" s="87">
        <f>N126*$Q$4</f>
        <v>0</v>
      </c>
      <c r="R126" s="87">
        <v>2082.085</v>
      </c>
    </row>
    <row r="127" spans="1:18" s="67" customFormat="1" ht="11.25">
      <c r="A127" s="85" t="s">
        <v>332</v>
      </c>
      <c r="B127" s="86" t="s">
        <v>333</v>
      </c>
      <c r="C127" s="87">
        <v>620.335</v>
      </c>
      <c r="D127" s="87">
        <v>0</v>
      </c>
      <c r="E127" s="87">
        <v>0</v>
      </c>
      <c r="F127" s="87">
        <v>0</v>
      </c>
      <c r="G127" s="87">
        <v>0</v>
      </c>
      <c r="H127" s="87">
        <v>204.245</v>
      </c>
      <c r="I127" s="87">
        <f t="shared" si="57"/>
        <v>0</v>
      </c>
      <c r="J127" s="87">
        <f t="shared" si="57"/>
        <v>0</v>
      </c>
      <c r="K127" s="87">
        <f t="shared" si="57"/>
        <v>0</v>
      </c>
      <c r="L127" s="87">
        <f>G127*$L$4</f>
        <v>0</v>
      </c>
      <c r="M127" s="87">
        <v>725.584</v>
      </c>
      <c r="N127" s="87">
        <f>L127*$N$4</f>
        <v>0</v>
      </c>
      <c r="O127" s="87">
        <v>1631.993</v>
      </c>
      <c r="P127" s="87">
        <v>1601.342</v>
      </c>
      <c r="Q127" s="87">
        <f>N127*$Q$4</f>
        <v>0</v>
      </c>
      <c r="R127" s="87">
        <v>400.755</v>
      </c>
    </row>
    <row r="128" spans="1:18" s="67" customFormat="1" ht="11.25">
      <c r="A128" s="73" t="s">
        <v>334</v>
      </c>
      <c r="B128" s="84" t="s">
        <v>335</v>
      </c>
      <c r="C128" s="75">
        <f aca="true" t="shared" si="58" ref="C128:R128">SUM(C129:C134)</f>
        <v>12316.611</v>
      </c>
      <c r="D128" s="75">
        <f t="shared" si="58"/>
        <v>13657.702</v>
      </c>
      <c r="E128" s="75">
        <f t="shared" si="58"/>
        <v>12810.242</v>
      </c>
      <c r="F128" s="75">
        <f t="shared" si="58"/>
        <v>10384.342</v>
      </c>
      <c r="G128" s="75">
        <f t="shared" si="58"/>
        <v>12810.242</v>
      </c>
      <c r="H128" s="75">
        <f t="shared" si="58"/>
        <v>11234.350999999999</v>
      </c>
      <c r="I128" s="75">
        <f t="shared" si="58"/>
        <v>14289.468920483734</v>
      </c>
      <c r="J128" s="75">
        <f t="shared" si="58"/>
        <v>13402.807801991534</v>
      </c>
      <c r="K128" s="75">
        <f t="shared" si="58"/>
        <v>10864.692484041158</v>
      </c>
      <c r="L128" s="75">
        <f t="shared" si="58"/>
        <v>13402.807801991534</v>
      </c>
      <c r="M128" s="75">
        <f t="shared" si="58"/>
        <v>10782.515000000001</v>
      </c>
      <c r="N128" s="75">
        <f t="shared" si="58"/>
        <v>13696.638086944531</v>
      </c>
      <c r="O128" s="75">
        <f t="shared" si="58"/>
        <v>13308.185</v>
      </c>
      <c r="P128" s="75">
        <f t="shared" si="58"/>
        <v>13083.585</v>
      </c>
      <c r="Q128" s="75">
        <f t="shared" si="58"/>
        <v>14058.37128570725</v>
      </c>
      <c r="R128" s="75">
        <f t="shared" si="58"/>
        <v>15418.874</v>
      </c>
    </row>
    <row r="129" spans="1:18" s="67" customFormat="1" ht="22.5" customHeight="1">
      <c r="A129" s="85" t="s">
        <v>336</v>
      </c>
      <c r="B129" s="86" t="s">
        <v>337</v>
      </c>
      <c r="C129" s="87">
        <v>196.324</v>
      </c>
      <c r="D129" s="87">
        <v>211.467</v>
      </c>
      <c r="E129" s="87">
        <v>211.467</v>
      </c>
      <c r="F129" s="87">
        <v>211.467</v>
      </c>
      <c r="G129" s="87">
        <v>211.467</v>
      </c>
      <c r="H129" s="87">
        <v>172.743</v>
      </c>
      <c r="I129" s="87">
        <f aca="true" t="shared" si="59" ref="I129:K134">D129*$J$4</f>
        <v>221.24886926131012</v>
      </c>
      <c r="J129" s="87">
        <f t="shared" si="59"/>
        <v>221.24886926131012</v>
      </c>
      <c r="K129" s="87">
        <f t="shared" si="59"/>
        <v>221.24886926131012</v>
      </c>
      <c r="L129" s="87">
        <f aca="true" t="shared" si="60" ref="L129:L134">G129*$L$4</f>
        <v>221.24886926131012</v>
      </c>
      <c r="M129" s="87">
        <v>195.313</v>
      </c>
      <c r="N129" s="87">
        <f aca="true" t="shared" si="61" ref="N129:N136">L129*$N$4</f>
        <v>226.09931696309087</v>
      </c>
      <c r="O129" s="87">
        <v>202.898</v>
      </c>
      <c r="P129" s="87">
        <v>199.53</v>
      </c>
      <c r="Q129" s="87">
        <f aca="true" t="shared" si="62" ref="Q129:Q136">N129*$Q$4</f>
        <v>232.07068224586666</v>
      </c>
      <c r="R129" s="87">
        <v>241.658</v>
      </c>
    </row>
    <row r="130" spans="1:18" s="67" customFormat="1" ht="22.5">
      <c r="A130" s="85" t="s">
        <v>338</v>
      </c>
      <c r="B130" s="86" t="s">
        <v>339</v>
      </c>
      <c r="C130" s="87">
        <v>908.269</v>
      </c>
      <c r="D130" s="87">
        <v>2276.811</v>
      </c>
      <c r="E130" s="87">
        <f>2276.811-847.46</f>
        <v>1429.351</v>
      </c>
      <c r="F130" s="87">
        <f>2276.811-847.46</f>
        <v>1429.351</v>
      </c>
      <c r="G130" s="87">
        <f>2276.811-847.46</f>
        <v>1429.351</v>
      </c>
      <c r="H130" s="87">
        <v>839.176</v>
      </c>
      <c r="I130" s="87">
        <f t="shared" si="59"/>
        <v>2382.129879705641</v>
      </c>
      <c r="J130" s="87">
        <f t="shared" si="59"/>
        <v>1495.468761213442</v>
      </c>
      <c r="K130" s="87">
        <f t="shared" si="59"/>
        <v>1495.468761213442</v>
      </c>
      <c r="L130" s="87">
        <f t="shared" si="60"/>
        <v>1495.468761213442</v>
      </c>
      <c r="M130" s="87">
        <v>937.5360000000001</v>
      </c>
      <c r="N130" s="87">
        <f t="shared" si="61"/>
        <v>1528.2539819475896</v>
      </c>
      <c r="O130" s="87">
        <v>2118.662</v>
      </c>
      <c r="P130" s="87">
        <v>2082.859</v>
      </c>
      <c r="Q130" s="87">
        <f t="shared" si="62"/>
        <v>1568.6157260414711</v>
      </c>
      <c r="R130" s="87">
        <v>4171.616</v>
      </c>
    </row>
    <row r="131" spans="1:18" s="67" customFormat="1" ht="22.5">
      <c r="A131" s="85" t="s">
        <v>340</v>
      </c>
      <c r="B131" s="86" t="s">
        <v>341</v>
      </c>
      <c r="C131" s="87">
        <v>3151.269</v>
      </c>
      <c r="D131" s="87">
        <v>2425.9</v>
      </c>
      <c r="E131" s="87">
        <v>2425.9</v>
      </c>
      <c r="F131" s="91">
        <v>0</v>
      </c>
      <c r="G131" s="167">
        <v>2425.9</v>
      </c>
      <c r="H131" s="87">
        <v>2197.758</v>
      </c>
      <c r="I131" s="87">
        <f t="shared" si="59"/>
        <v>2538.1153179503763</v>
      </c>
      <c r="J131" s="87">
        <f t="shared" si="59"/>
        <v>2538.1153179503763</v>
      </c>
      <c r="K131" s="87">
        <f t="shared" si="59"/>
        <v>0</v>
      </c>
      <c r="L131" s="87">
        <f t="shared" si="60"/>
        <v>2538.1153179503763</v>
      </c>
      <c r="M131" s="87">
        <v>1969.627</v>
      </c>
      <c r="N131" s="87">
        <f t="shared" si="61"/>
        <v>2593.7585203401104</v>
      </c>
      <c r="O131" s="87">
        <v>1901.856</v>
      </c>
      <c r="P131" s="87">
        <v>1869.9569999999999</v>
      </c>
      <c r="Q131" s="87">
        <f t="shared" si="62"/>
        <v>2662.260627238519</v>
      </c>
      <c r="R131" s="87">
        <v>2157.854</v>
      </c>
    </row>
    <row r="132" spans="1:18" s="67" customFormat="1" ht="22.5">
      <c r="A132" s="85" t="s">
        <v>342</v>
      </c>
      <c r="B132" s="86" t="s">
        <v>343</v>
      </c>
      <c r="C132" s="87">
        <v>533.395</v>
      </c>
      <c r="D132" s="87">
        <v>863.928</v>
      </c>
      <c r="E132" s="87">
        <v>863.928</v>
      </c>
      <c r="F132" s="87">
        <v>863.928</v>
      </c>
      <c r="G132" s="87">
        <v>863.928</v>
      </c>
      <c r="H132" s="87">
        <v>710.448</v>
      </c>
      <c r="I132" s="87">
        <f t="shared" si="59"/>
        <v>903.8908819020704</v>
      </c>
      <c r="J132" s="87">
        <f t="shared" si="59"/>
        <v>903.8908819020704</v>
      </c>
      <c r="K132" s="87">
        <f t="shared" si="59"/>
        <v>903.8908819020704</v>
      </c>
      <c r="L132" s="87">
        <f t="shared" si="60"/>
        <v>903.8908819020704</v>
      </c>
      <c r="M132" s="87">
        <v>748.14</v>
      </c>
      <c r="N132" s="87">
        <f t="shared" si="61"/>
        <v>923.7069174163778</v>
      </c>
      <c r="O132" s="87">
        <v>1103.325</v>
      </c>
      <c r="P132" s="87">
        <v>1084.567</v>
      </c>
      <c r="Q132" s="87">
        <f t="shared" si="62"/>
        <v>948.1023534230262</v>
      </c>
      <c r="R132" s="87">
        <v>3656.149</v>
      </c>
    </row>
    <row r="133" spans="1:18" s="67" customFormat="1" ht="22.5">
      <c r="A133" s="85" t="s">
        <v>344</v>
      </c>
      <c r="B133" s="86" t="s">
        <v>345</v>
      </c>
      <c r="C133" s="87">
        <v>7527.354</v>
      </c>
      <c r="D133" s="87">
        <v>7879.596</v>
      </c>
      <c r="E133" s="87">
        <v>7879.596</v>
      </c>
      <c r="F133" s="87">
        <v>7879.596</v>
      </c>
      <c r="G133" s="87">
        <v>7879.596</v>
      </c>
      <c r="H133" s="87">
        <v>7304.881</v>
      </c>
      <c r="I133" s="87">
        <f t="shared" si="59"/>
        <v>8244.083971664335</v>
      </c>
      <c r="J133" s="87">
        <f t="shared" si="59"/>
        <v>8244.083971664335</v>
      </c>
      <c r="K133" s="87">
        <f t="shared" si="59"/>
        <v>8244.083971664335</v>
      </c>
      <c r="L133" s="87">
        <f t="shared" si="60"/>
        <v>8244.083971664335</v>
      </c>
      <c r="M133" s="87">
        <v>6810.8330000000005</v>
      </c>
      <c r="N133" s="87">
        <f t="shared" si="61"/>
        <v>8424.819350277361</v>
      </c>
      <c r="O133" s="87">
        <v>7849.748</v>
      </c>
      <c r="P133" s="87">
        <v>7717.602</v>
      </c>
      <c r="Q133" s="87">
        <f t="shared" si="62"/>
        <v>8647.321896758367</v>
      </c>
      <c r="R133" s="87">
        <v>4949.787</v>
      </c>
    </row>
    <row r="134" spans="1:18" s="67" customFormat="1" ht="11.25">
      <c r="A134" s="85" t="s">
        <v>346</v>
      </c>
      <c r="B134" s="86" t="s">
        <v>347</v>
      </c>
      <c r="C134" s="87"/>
      <c r="D134" s="87">
        <v>0</v>
      </c>
      <c r="E134" s="87">
        <v>0</v>
      </c>
      <c r="F134" s="87">
        <v>0</v>
      </c>
      <c r="G134" s="87">
        <v>0</v>
      </c>
      <c r="H134" s="87">
        <v>9.345</v>
      </c>
      <c r="I134" s="87">
        <f t="shared" si="59"/>
        <v>0</v>
      </c>
      <c r="J134" s="87">
        <f t="shared" si="59"/>
        <v>0</v>
      </c>
      <c r="K134" s="87">
        <f t="shared" si="59"/>
        <v>0</v>
      </c>
      <c r="L134" s="87">
        <f t="shared" si="60"/>
        <v>0</v>
      </c>
      <c r="M134" s="87">
        <v>121.066</v>
      </c>
      <c r="N134" s="87">
        <f t="shared" si="61"/>
        <v>0</v>
      </c>
      <c r="O134" s="87">
        <v>131.696</v>
      </c>
      <c r="P134" s="87">
        <v>129.07</v>
      </c>
      <c r="Q134" s="87">
        <f t="shared" si="62"/>
        <v>0</v>
      </c>
      <c r="R134" s="87">
        <v>241.81</v>
      </c>
    </row>
    <row r="135" spans="1:18" s="67" customFormat="1" ht="11.25">
      <c r="A135" s="90" t="s">
        <v>763</v>
      </c>
      <c r="B135" s="86" t="s">
        <v>855</v>
      </c>
      <c r="C135" s="87"/>
      <c r="D135" s="87"/>
      <c r="E135" s="87"/>
      <c r="F135" s="87"/>
      <c r="G135" s="87"/>
      <c r="H135" s="87">
        <v>2003.422</v>
      </c>
      <c r="I135" s="87"/>
      <c r="J135" s="87"/>
      <c r="K135" s="87"/>
      <c r="L135" s="87"/>
      <c r="M135" s="87"/>
      <c r="N135" s="87">
        <f t="shared" si="61"/>
        <v>0</v>
      </c>
      <c r="O135" s="87">
        <v>0</v>
      </c>
      <c r="P135" s="87">
        <v>0</v>
      </c>
      <c r="Q135" s="87">
        <f t="shared" si="62"/>
        <v>0</v>
      </c>
      <c r="R135" s="87"/>
    </row>
    <row r="136" spans="1:18" s="67" customFormat="1" ht="11.25">
      <c r="A136" s="85" t="s">
        <v>348</v>
      </c>
      <c r="B136" s="86" t="s">
        <v>349</v>
      </c>
      <c r="C136" s="87">
        <v>0</v>
      </c>
      <c r="D136" s="87">
        <v>114.649</v>
      </c>
      <c r="E136" s="87">
        <v>114.649</v>
      </c>
      <c r="F136" s="87">
        <v>114.649</v>
      </c>
      <c r="G136" s="87">
        <v>114.649</v>
      </c>
      <c r="H136" s="87">
        <v>98.923</v>
      </c>
      <c r="I136" s="87">
        <f>D136*$J$4</f>
        <v>119.95234061078061</v>
      </c>
      <c r="J136" s="87">
        <f>E136*$J$4</f>
        <v>119.95234061078061</v>
      </c>
      <c r="K136" s="87">
        <f>F136*$J$4</f>
        <v>119.95234061078061</v>
      </c>
      <c r="L136" s="87">
        <f>G136*$L$4</f>
        <v>119.95234061078061</v>
      </c>
      <c r="M136" s="87">
        <v>61.692</v>
      </c>
      <c r="N136" s="87">
        <f t="shared" si="61"/>
        <v>122.58206051299449</v>
      </c>
      <c r="O136" s="87">
        <v>65.33</v>
      </c>
      <c r="P136" s="87">
        <v>64.243</v>
      </c>
      <c r="Q136" s="87">
        <f t="shared" si="62"/>
        <v>125.81949736273918</v>
      </c>
      <c r="R136" s="87">
        <v>79.04</v>
      </c>
    </row>
    <row r="137" spans="1:18" s="67" customFormat="1" ht="11.25">
      <c r="A137" s="73" t="s">
        <v>350</v>
      </c>
      <c r="B137" s="84" t="s">
        <v>351</v>
      </c>
      <c r="C137" s="75">
        <f>SUM(C138:C143)</f>
        <v>1369.721</v>
      </c>
      <c r="D137" s="75">
        <f aca="true" t="shared" si="63" ref="D137:L137">SUM(D138:D143)</f>
        <v>306.08</v>
      </c>
      <c r="E137" s="75">
        <f t="shared" si="63"/>
        <v>0</v>
      </c>
      <c r="F137" s="75">
        <f t="shared" si="63"/>
        <v>0</v>
      </c>
      <c r="G137" s="75">
        <f t="shared" si="63"/>
        <v>0</v>
      </c>
      <c r="H137" s="75">
        <f t="shared" si="63"/>
        <v>0</v>
      </c>
      <c r="I137" s="75">
        <f t="shared" si="63"/>
        <v>320.23840080722664</v>
      </c>
      <c r="J137" s="75">
        <f t="shared" si="63"/>
        <v>0</v>
      </c>
      <c r="K137" s="75">
        <f t="shared" si="63"/>
        <v>0</v>
      </c>
      <c r="L137" s="75">
        <f t="shared" si="63"/>
        <v>0</v>
      </c>
      <c r="M137" s="75">
        <f aca="true" t="shared" si="64" ref="M137:R137">SUM(M138:M143)</f>
        <v>643.6669999999999</v>
      </c>
      <c r="N137" s="75">
        <f t="shared" si="64"/>
        <v>0</v>
      </c>
      <c r="O137" s="75">
        <f t="shared" si="64"/>
        <v>5033.037</v>
      </c>
      <c r="P137" s="75">
        <f t="shared" si="64"/>
        <v>5018.271000000001</v>
      </c>
      <c r="Q137" s="75">
        <f t="shared" si="64"/>
        <v>0</v>
      </c>
      <c r="R137" s="75">
        <f t="shared" si="64"/>
        <v>313.056</v>
      </c>
    </row>
    <row r="138" spans="1:18" s="67" customFormat="1" ht="22.5">
      <c r="A138" s="90" t="s">
        <v>859</v>
      </c>
      <c r="B138" s="86" t="s">
        <v>860</v>
      </c>
      <c r="C138" s="87"/>
      <c r="D138" s="87"/>
      <c r="E138" s="87"/>
      <c r="F138" s="87"/>
      <c r="G138" s="87"/>
      <c r="H138" s="87"/>
      <c r="I138" s="87"/>
      <c r="J138" s="87"/>
      <c r="K138" s="87"/>
      <c r="L138" s="87"/>
      <c r="M138" s="87"/>
      <c r="N138" s="87"/>
      <c r="O138" s="87">
        <v>4112.04</v>
      </c>
      <c r="P138" s="87">
        <v>4112.041</v>
      </c>
      <c r="Q138" s="87"/>
      <c r="R138" s="87"/>
    </row>
    <row r="139" spans="1:18" s="67" customFormat="1" ht="33.75">
      <c r="A139" s="85" t="s">
        <v>352</v>
      </c>
      <c r="B139" s="86" t="s">
        <v>353</v>
      </c>
      <c r="C139" s="87">
        <v>1205.325</v>
      </c>
      <c r="D139" s="87">
        <v>0</v>
      </c>
      <c r="E139" s="87">
        <v>0</v>
      </c>
      <c r="F139" s="87">
        <v>0</v>
      </c>
      <c r="G139" s="87">
        <v>0</v>
      </c>
      <c r="H139" s="87">
        <v>0</v>
      </c>
      <c r="I139" s="87">
        <f aca="true" t="shared" si="65" ref="I139:K141">D139*$J$4</f>
        <v>0</v>
      </c>
      <c r="J139" s="87">
        <f t="shared" si="65"/>
        <v>0</v>
      </c>
      <c r="K139" s="87">
        <f t="shared" si="65"/>
        <v>0</v>
      </c>
      <c r="L139" s="87">
        <f>G139*$L$4</f>
        <v>0</v>
      </c>
      <c r="M139" s="87"/>
      <c r="N139" s="87">
        <f>L139*$N$4</f>
        <v>0</v>
      </c>
      <c r="O139" s="87">
        <v>0</v>
      </c>
      <c r="P139" s="87">
        <v>0</v>
      </c>
      <c r="Q139" s="87">
        <f>N139*$Q$4</f>
        <v>0</v>
      </c>
      <c r="R139" s="87"/>
    </row>
    <row r="140" spans="1:18" s="67" customFormat="1" ht="22.5">
      <c r="A140" s="85" t="s">
        <v>354</v>
      </c>
      <c r="B140" s="86" t="s">
        <v>856</v>
      </c>
      <c r="C140" s="87"/>
      <c r="D140" s="87">
        <v>0</v>
      </c>
      <c r="E140" s="87">
        <v>0</v>
      </c>
      <c r="F140" s="87">
        <v>0</v>
      </c>
      <c r="G140" s="87">
        <v>0</v>
      </c>
      <c r="H140" s="87">
        <v>0</v>
      </c>
      <c r="I140" s="87">
        <f t="shared" si="65"/>
        <v>0</v>
      </c>
      <c r="J140" s="87">
        <f t="shared" si="65"/>
        <v>0</v>
      </c>
      <c r="K140" s="87">
        <f t="shared" si="65"/>
        <v>0</v>
      </c>
      <c r="L140" s="87">
        <f>G140*$L$4</f>
        <v>0</v>
      </c>
      <c r="M140" s="87"/>
      <c r="N140" s="87">
        <f>L140*$N$4</f>
        <v>0</v>
      </c>
      <c r="O140" s="87">
        <v>258.724</v>
      </c>
      <c r="P140" s="87">
        <v>258.724</v>
      </c>
      <c r="Q140" s="87">
        <f>N140*$Q$4</f>
        <v>0</v>
      </c>
      <c r="R140" s="87">
        <v>313.056</v>
      </c>
    </row>
    <row r="141" spans="1:18" s="67" customFormat="1" ht="11.25">
      <c r="A141" s="85" t="s">
        <v>355</v>
      </c>
      <c r="B141" s="86" t="s">
        <v>356</v>
      </c>
      <c r="C141" s="87">
        <v>164.396</v>
      </c>
      <c r="D141" s="87">
        <v>306.08</v>
      </c>
      <c r="E141" s="87">
        <f>306.08-306.08</f>
        <v>0</v>
      </c>
      <c r="F141" s="87">
        <f>306.08-306.08</f>
        <v>0</v>
      </c>
      <c r="G141" s="87">
        <f>306.08-306.08</f>
        <v>0</v>
      </c>
      <c r="H141" s="87">
        <v>0</v>
      </c>
      <c r="I141" s="87">
        <f t="shared" si="65"/>
        <v>320.23840080722664</v>
      </c>
      <c r="J141" s="87">
        <f t="shared" si="65"/>
        <v>0</v>
      </c>
      <c r="K141" s="87">
        <f t="shared" si="65"/>
        <v>0</v>
      </c>
      <c r="L141" s="87">
        <f>G141*$L$4</f>
        <v>0</v>
      </c>
      <c r="M141" s="87"/>
      <c r="N141" s="87">
        <f>L141*$N$4</f>
        <v>0</v>
      </c>
      <c r="O141" s="87"/>
      <c r="P141" s="87"/>
      <c r="Q141" s="87">
        <f>N141*$Q$4</f>
        <v>0</v>
      </c>
      <c r="R141" s="87"/>
    </row>
    <row r="142" spans="1:18" s="67" customFormat="1" ht="22.5">
      <c r="A142" s="85" t="s">
        <v>857</v>
      </c>
      <c r="B142" s="86" t="s">
        <v>858</v>
      </c>
      <c r="C142" s="87"/>
      <c r="D142" s="87"/>
      <c r="E142" s="87"/>
      <c r="F142" s="87"/>
      <c r="G142" s="87"/>
      <c r="H142" s="87"/>
      <c r="I142" s="87"/>
      <c r="J142" s="87"/>
      <c r="K142" s="87"/>
      <c r="L142" s="87"/>
      <c r="M142" s="87">
        <v>607.103</v>
      </c>
      <c r="N142" s="87"/>
      <c r="O142" s="87">
        <v>657.273</v>
      </c>
      <c r="P142" s="87">
        <v>642.589</v>
      </c>
      <c r="Q142" s="87"/>
      <c r="R142" s="87"/>
    </row>
    <row r="143" spans="1:18" s="67" customFormat="1" ht="11.25">
      <c r="A143" s="85" t="s">
        <v>861</v>
      </c>
      <c r="B143" s="86" t="s">
        <v>862</v>
      </c>
      <c r="C143" s="87"/>
      <c r="D143" s="87"/>
      <c r="E143" s="87"/>
      <c r="F143" s="87"/>
      <c r="G143" s="87"/>
      <c r="H143" s="87"/>
      <c r="I143" s="87"/>
      <c r="J143" s="87"/>
      <c r="K143" s="87"/>
      <c r="L143" s="87"/>
      <c r="M143" s="87">
        <v>36.564</v>
      </c>
      <c r="N143" s="87"/>
      <c r="O143" s="87">
        <v>5</v>
      </c>
      <c r="P143" s="87">
        <v>4.917</v>
      </c>
      <c r="Q143" s="87"/>
      <c r="R143" s="87"/>
    </row>
    <row r="144" spans="1:18" s="67" customFormat="1" ht="22.5">
      <c r="A144" s="85" t="s">
        <v>357</v>
      </c>
      <c r="B144" s="86" t="s">
        <v>358</v>
      </c>
      <c r="C144" s="87">
        <v>9538.541</v>
      </c>
      <c r="D144" s="87">
        <v>9725.267144181</v>
      </c>
      <c r="E144" s="87">
        <v>9725.267144181</v>
      </c>
      <c r="F144" s="87">
        <v>9725.267144181</v>
      </c>
      <c r="G144" s="87">
        <v>9725.267144181</v>
      </c>
      <c r="H144" s="87">
        <v>9685.562</v>
      </c>
      <c r="I144" s="87">
        <f aca="true" t="shared" si="66" ref="I144:K145">D144*$J$4</f>
        <v>10175.130677194156</v>
      </c>
      <c r="J144" s="87">
        <f t="shared" si="66"/>
        <v>10175.130677194156</v>
      </c>
      <c r="K144" s="87">
        <f t="shared" si="66"/>
        <v>10175.130677194156</v>
      </c>
      <c r="L144" s="87">
        <f>G144*$L$4</f>
        <v>10175.130677194156</v>
      </c>
      <c r="M144" s="87">
        <v>9861.985</v>
      </c>
      <c r="N144" s="87">
        <f>L144*$N$4</f>
        <v>10398.200469023126</v>
      </c>
      <c r="O144" s="87">
        <v>9787.273</v>
      </c>
      <c r="P144" s="87">
        <v>9623.856</v>
      </c>
      <c r="Q144" s="87">
        <f>N144*$Q$4</f>
        <v>10672.820729349714</v>
      </c>
      <c r="R144" s="87">
        <v>10390.173</v>
      </c>
    </row>
    <row r="145" spans="1:18" s="67" customFormat="1" ht="33.75">
      <c r="A145" s="85" t="s">
        <v>359</v>
      </c>
      <c r="B145" s="86" t="s">
        <v>360</v>
      </c>
      <c r="C145" s="87">
        <v>366.553</v>
      </c>
      <c r="D145" s="87">
        <v>462.672</v>
      </c>
      <c r="E145" s="87">
        <v>462.672</v>
      </c>
      <c r="F145" s="87">
        <v>462.672</v>
      </c>
      <c r="G145" s="87">
        <v>462.672</v>
      </c>
      <c r="H145" s="87">
        <v>392.078</v>
      </c>
      <c r="I145" s="87">
        <f t="shared" si="66"/>
        <v>484.07390675078796</v>
      </c>
      <c r="J145" s="87">
        <f t="shared" si="66"/>
        <v>484.07390675078796</v>
      </c>
      <c r="K145" s="87">
        <f t="shared" si="66"/>
        <v>484.07390675078796</v>
      </c>
      <c r="L145" s="87">
        <f>G145*$L$4</f>
        <v>484.07390675078796</v>
      </c>
      <c r="M145" s="87">
        <v>397.31600000000003</v>
      </c>
      <c r="N145" s="87">
        <f>L145*$N$4</f>
        <v>494.68627813298144</v>
      </c>
      <c r="O145" s="87">
        <v>297.675</v>
      </c>
      <c r="P145" s="87">
        <v>293.281</v>
      </c>
      <c r="Q145" s="87">
        <f>N145*$Q$4</f>
        <v>507.75112285160156</v>
      </c>
      <c r="R145" s="87">
        <v>411.318</v>
      </c>
    </row>
    <row r="146" spans="1:18" s="67" customFormat="1" ht="22.5">
      <c r="A146" s="85" t="s">
        <v>863</v>
      </c>
      <c r="B146" s="86" t="s">
        <v>864</v>
      </c>
      <c r="C146" s="87"/>
      <c r="D146" s="87"/>
      <c r="E146" s="87"/>
      <c r="F146" s="87"/>
      <c r="G146" s="87"/>
      <c r="H146" s="87"/>
      <c r="I146" s="87"/>
      <c r="J146" s="87"/>
      <c r="K146" s="87"/>
      <c r="L146" s="87"/>
      <c r="M146" s="87"/>
      <c r="N146" s="87"/>
      <c r="O146" s="87">
        <v>75.3</v>
      </c>
      <c r="P146" s="87">
        <v>75.3</v>
      </c>
      <c r="Q146" s="87"/>
      <c r="R146" s="87">
        <v>62.777</v>
      </c>
    </row>
    <row r="147" spans="1:18" s="67" customFormat="1" ht="11.25">
      <c r="A147" s="85" t="s">
        <v>361</v>
      </c>
      <c r="B147" s="86" t="s">
        <v>362</v>
      </c>
      <c r="C147" s="87">
        <v>393.202</v>
      </c>
      <c r="D147" s="87">
        <v>740.59</v>
      </c>
      <c r="E147" s="87">
        <v>740.59</v>
      </c>
      <c r="F147" s="87">
        <v>740.59</v>
      </c>
      <c r="G147" s="87">
        <v>740.59</v>
      </c>
      <c r="H147" s="87">
        <v>685.322</v>
      </c>
      <c r="I147" s="87">
        <f>D147*$J$4</f>
        <v>774.8476125647674</v>
      </c>
      <c r="J147" s="87">
        <f>E147*$J$4</f>
        <v>774.8476125647674</v>
      </c>
      <c r="K147" s="87">
        <f>F147*$J$4</f>
        <v>774.8476125647674</v>
      </c>
      <c r="L147" s="87">
        <f>G147*$L$4</f>
        <v>774.8476125647674</v>
      </c>
      <c r="M147" s="87">
        <v>419.01</v>
      </c>
      <c r="N147" s="87">
        <f>L147*$N$4</f>
        <v>791.8346273872305</v>
      </c>
      <c r="O147" s="87">
        <v>183.888</v>
      </c>
      <c r="P147" s="87">
        <v>183.887</v>
      </c>
      <c r="Q147" s="87">
        <f>N147*$Q$4</f>
        <v>812.7472682000804</v>
      </c>
      <c r="R147" s="87">
        <v>417.172</v>
      </c>
    </row>
    <row r="148" spans="1:18" s="67" customFormat="1" ht="11.25">
      <c r="A148" s="73" t="s">
        <v>363</v>
      </c>
      <c r="B148" s="84" t="s">
        <v>364</v>
      </c>
      <c r="C148" s="75">
        <f aca="true" t="shared" si="67" ref="C148:R148">C149</f>
        <v>267.678</v>
      </c>
      <c r="D148" s="75">
        <f t="shared" si="67"/>
        <v>191.411</v>
      </c>
      <c r="E148" s="75">
        <f t="shared" si="67"/>
        <v>191.411</v>
      </c>
      <c r="F148" s="75">
        <f t="shared" si="67"/>
        <v>191.411</v>
      </c>
      <c r="G148" s="75">
        <f t="shared" si="67"/>
        <v>191.411</v>
      </c>
      <c r="H148" s="75">
        <f t="shared" si="67"/>
        <v>515.39</v>
      </c>
      <c r="I148" s="75">
        <f t="shared" si="67"/>
        <v>200.26513505264003</v>
      </c>
      <c r="J148" s="75">
        <f t="shared" si="67"/>
        <v>200.26513505264003</v>
      </c>
      <c r="K148" s="75">
        <f t="shared" si="67"/>
        <v>200.26513505264003</v>
      </c>
      <c r="L148" s="75">
        <f t="shared" si="67"/>
        <v>200.26513505264003</v>
      </c>
      <c r="M148" s="75">
        <f t="shared" si="67"/>
        <v>261.729</v>
      </c>
      <c r="N148" s="75">
        <f t="shared" si="67"/>
        <v>204.65555552035158</v>
      </c>
      <c r="O148" s="75">
        <f t="shared" si="67"/>
        <v>280.96</v>
      </c>
      <c r="P148" s="75">
        <f t="shared" si="67"/>
        <v>275.826</v>
      </c>
      <c r="Q148" s="75">
        <f t="shared" si="67"/>
        <v>210.0605832558441</v>
      </c>
      <c r="R148" s="75">
        <f t="shared" si="67"/>
        <v>580.121</v>
      </c>
    </row>
    <row r="149" spans="1:18" s="67" customFormat="1" ht="11.25">
      <c r="A149" s="85" t="s">
        <v>365</v>
      </c>
      <c r="B149" s="86" t="s">
        <v>366</v>
      </c>
      <c r="C149" s="87">
        <v>267.678</v>
      </c>
      <c r="D149" s="87">
        <v>191.411</v>
      </c>
      <c r="E149" s="87">
        <v>191.411</v>
      </c>
      <c r="F149" s="87">
        <v>191.411</v>
      </c>
      <c r="G149" s="87">
        <v>191.411</v>
      </c>
      <c r="H149" s="87">
        <v>515.39</v>
      </c>
      <c r="I149" s="87">
        <f>D149*$J$4</f>
        <v>200.26513505264003</v>
      </c>
      <c r="J149" s="87">
        <f>E149*$J$4</f>
        <v>200.26513505264003</v>
      </c>
      <c r="K149" s="87">
        <f>F149*$J$4</f>
        <v>200.26513505264003</v>
      </c>
      <c r="L149" s="87">
        <f>G149*$L$4</f>
        <v>200.26513505264003</v>
      </c>
      <c r="M149" s="87">
        <v>261.729</v>
      </c>
      <c r="N149" s="87">
        <f>L149*$N$4</f>
        <v>204.65555552035158</v>
      </c>
      <c r="O149" s="87">
        <v>280.96</v>
      </c>
      <c r="P149" s="87">
        <v>275.826</v>
      </c>
      <c r="Q149" s="87">
        <f>N149*$Q$4</f>
        <v>210.0605832558441</v>
      </c>
      <c r="R149" s="87">
        <v>580.121</v>
      </c>
    </row>
    <row r="150" spans="1:18" s="67" customFormat="1" ht="22.5">
      <c r="A150" s="73" t="s">
        <v>367</v>
      </c>
      <c r="B150" s="84" t="s">
        <v>368</v>
      </c>
      <c r="C150" s="75">
        <f aca="true" t="shared" si="68" ref="C150:L150">SUM(C151:C164)</f>
        <v>1591.4859999999999</v>
      </c>
      <c r="D150" s="75">
        <f t="shared" si="68"/>
        <v>2137.331</v>
      </c>
      <c r="E150" s="75">
        <f t="shared" si="68"/>
        <v>2108.331</v>
      </c>
      <c r="F150" s="75">
        <f t="shared" si="68"/>
        <v>1666.051</v>
      </c>
      <c r="G150" s="75">
        <f t="shared" si="68"/>
        <v>1666.051</v>
      </c>
      <c r="H150" s="75">
        <f t="shared" si="68"/>
        <v>1952.4869999999999</v>
      </c>
      <c r="I150" s="75">
        <f t="shared" si="68"/>
        <v>2236.1979268025048</v>
      </c>
      <c r="J150" s="75">
        <f t="shared" si="68"/>
        <v>2205.8564682837855</v>
      </c>
      <c r="K150" s="75">
        <f t="shared" si="68"/>
        <v>1743.1178381576085</v>
      </c>
      <c r="L150" s="75">
        <f t="shared" si="68"/>
        <v>1743.1178381576085</v>
      </c>
      <c r="M150" s="75">
        <f aca="true" t="shared" si="69" ref="M150:R150">SUM(M151:M164)</f>
        <v>2314.061</v>
      </c>
      <c r="N150" s="75">
        <f t="shared" si="69"/>
        <v>1781.3322793895716</v>
      </c>
      <c r="O150" s="75">
        <f t="shared" si="69"/>
        <v>2971.616</v>
      </c>
      <c r="P150" s="75">
        <f t="shared" si="69"/>
        <v>2829.1569999999997</v>
      </c>
      <c r="Q150" s="75">
        <f t="shared" si="69"/>
        <v>1828.3779134636063</v>
      </c>
      <c r="R150" s="75">
        <f t="shared" si="69"/>
        <v>2617.6340000000005</v>
      </c>
    </row>
    <row r="151" spans="1:18" s="67" customFormat="1" ht="11.25">
      <c r="A151" s="85" t="s">
        <v>369</v>
      </c>
      <c r="B151" s="86" t="s">
        <v>370</v>
      </c>
      <c r="C151" s="87">
        <v>8.149</v>
      </c>
      <c r="D151" s="87">
        <v>0</v>
      </c>
      <c r="E151" s="87">
        <v>0</v>
      </c>
      <c r="F151" s="87">
        <v>0</v>
      </c>
      <c r="G151" s="87">
        <v>0</v>
      </c>
      <c r="H151" s="87">
        <v>22.443</v>
      </c>
      <c r="I151" s="87">
        <f aca="true" t="shared" si="70" ref="I151:K156">D151*$J$4</f>
        <v>0</v>
      </c>
      <c r="J151" s="87">
        <f t="shared" si="70"/>
        <v>0</v>
      </c>
      <c r="K151" s="87">
        <f t="shared" si="70"/>
        <v>0</v>
      </c>
      <c r="L151" s="87">
        <f aca="true" t="shared" si="71" ref="L151:L156">G151*$L$4</f>
        <v>0</v>
      </c>
      <c r="M151" s="87">
        <v>58.383</v>
      </c>
      <c r="N151" s="87">
        <f aca="true" t="shared" si="72" ref="N151:N156">L151*$N$4</f>
        <v>0</v>
      </c>
      <c r="O151" s="87">
        <v>17.806</v>
      </c>
      <c r="P151" s="87">
        <v>17.475</v>
      </c>
      <c r="Q151" s="87">
        <f aca="true" t="shared" si="73" ref="Q151:Q156">N151*$Q$4</f>
        <v>0</v>
      </c>
      <c r="R151" s="87">
        <v>32.299</v>
      </c>
    </row>
    <row r="152" spans="1:18" s="67" customFormat="1" ht="33.75">
      <c r="A152" s="85" t="s">
        <v>371</v>
      </c>
      <c r="B152" s="86" t="s">
        <v>372</v>
      </c>
      <c r="C152" s="87">
        <v>46.428</v>
      </c>
      <c r="D152" s="87">
        <v>49.92</v>
      </c>
      <c r="E152" s="87">
        <v>49.92</v>
      </c>
      <c r="F152" s="87">
        <v>49.92</v>
      </c>
      <c r="G152" s="87">
        <v>49.92</v>
      </c>
      <c r="H152" s="87">
        <v>48.924</v>
      </c>
      <c r="I152" s="87">
        <f t="shared" si="70"/>
        <v>52.229158939809054</v>
      </c>
      <c r="J152" s="87">
        <f t="shared" si="70"/>
        <v>52.229158939809054</v>
      </c>
      <c r="K152" s="87">
        <f t="shared" si="70"/>
        <v>52.229158939809054</v>
      </c>
      <c r="L152" s="87">
        <f t="shared" si="71"/>
        <v>52.229158939809054</v>
      </c>
      <c r="M152" s="87">
        <v>52.589</v>
      </c>
      <c r="N152" s="87">
        <f t="shared" si="72"/>
        <v>53.37418085468417</v>
      </c>
      <c r="O152" s="87">
        <v>65.47</v>
      </c>
      <c r="P152" s="87">
        <v>64.596</v>
      </c>
      <c r="Q152" s="87">
        <f t="shared" si="73"/>
        <v>54.783812404364106</v>
      </c>
      <c r="R152" s="87">
        <v>70.965</v>
      </c>
    </row>
    <row r="153" spans="1:18" s="67" customFormat="1" ht="33.75">
      <c r="A153" s="85" t="s">
        <v>373</v>
      </c>
      <c r="B153" s="86" t="s">
        <v>374</v>
      </c>
      <c r="C153" s="87">
        <v>698.81</v>
      </c>
      <c r="D153" s="87">
        <v>1194.348</v>
      </c>
      <c r="E153" s="87">
        <v>1194.348</v>
      </c>
      <c r="F153" s="87">
        <v>1194.348</v>
      </c>
      <c r="G153" s="87">
        <v>1194.348</v>
      </c>
      <c r="H153" s="87">
        <v>886.827</v>
      </c>
      <c r="I153" s="87">
        <f t="shared" si="70"/>
        <v>1249.5951827212152</v>
      </c>
      <c r="J153" s="87">
        <f t="shared" si="70"/>
        <v>1249.5951827212152</v>
      </c>
      <c r="K153" s="87">
        <f t="shared" si="70"/>
        <v>1249.5951827212152</v>
      </c>
      <c r="L153" s="87">
        <f t="shared" si="71"/>
        <v>1249.5951827212152</v>
      </c>
      <c r="M153" s="87">
        <v>880.107</v>
      </c>
      <c r="N153" s="87">
        <f t="shared" si="72"/>
        <v>1276.990107280255</v>
      </c>
      <c r="O153" s="87">
        <v>1034.842</v>
      </c>
      <c r="P153" s="87">
        <v>972.7239999999999</v>
      </c>
      <c r="Q153" s="87">
        <f t="shared" si="73"/>
        <v>1310.7158809600853</v>
      </c>
      <c r="R153" s="87">
        <v>1238.663</v>
      </c>
    </row>
    <row r="154" spans="1:18" s="67" customFormat="1" ht="33.75">
      <c r="A154" s="85" t="s">
        <v>375</v>
      </c>
      <c r="B154" s="86" t="s">
        <v>376</v>
      </c>
      <c r="C154" s="87">
        <v>8.097</v>
      </c>
      <c r="D154" s="87">
        <v>10.306</v>
      </c>
      <c r="E154" s="87">
        <v>10.306</v>
      </c>
      <c r="F154" s="87">
        <v>10.306</v>
      </c>
      <c r="G154" s="87">
        <v>10.306</v>
      </c>
      <c r="H154" s="87">
        <v>9.788</v>
      </c>
      <c r="I154" s="87">
        <f t="shared" si="70"/>
        <v>10.782726603238622</v>
      </c>
      <c r="J154" s="87">
        <f t="shared" si="70"/>
        <v>10.782726603238622</v>
      </c>
      <c r="K154" s="87">
        <f t="shared" si="70"/>
        <v>10.782726603238622</v>
      </c>
      <c r="L154" s="87">
        <f t="shared" si="71"/>
        <v>10.782726603238622</v>
      </c>
      <c r="M154" s="87">
        <v>18.844</v>
      </c>
      <c r="N154" s="87">
        <f t="shared" si="72"/>
        <v>11.019116744558792</v>
      </c>
      <c r="O154" s="87">
        <v>14.776</v>
      </c>
      <c r="P154" s="87">
        <v>6.175000000000001</v>
      </c>
      <c r="Q154" s="87">
        <f t="shared" si="73"/>
        <v>11.3101356297952</v>
      </c>
      <c r="R154" s="87">
        <v>15.66</v>
      </c>
    </row>
    <row r="155" spans="1:18" s="67" customFormat="1" ht="33.75">
      <c r="A155" s="85" t="s">
        <v>377</v>
      </c>
      <c r="B155" s="86" t="s">
        <v>378</v>
      </c>
      <c r="C155" s="87">
        <v>246.872</v>
      </c>
      <c r="D155" s="87">
        <v>340.687</v>
      </c>
      <c r="E155" s="87">
        <v>340.687</v>
      </c>
      <c r="F155" s="87">
        <v>340.687</v>
      </c>
      <c r="G155" s="87">
        <v>340.687</v>
      </c>
      <c r="H155" s="87">
        <v>242.262</v>
      </c>
      <c r="I155" s="87">
        <f t="shared" si="70"/>
        <v>356.44622339196167</v>
      </c>
      <c r="J155" s="87">
        <f t="shared" si="70"/>
        <v>356.44622339196167</v>
      </c>
      <c r="K155" s="87">
        <f t="shared" si="70"/>
        <v>356.44622339196167</v>
      </c>
      <c r="L155" s="87">
        <f t="shared" si="71"/>
        <v>356.44622339196167</v>
      </c>
      <c r="M155" s="87">
        <v>237.909</v>
      </c>
      <c r="N155" s="87">
        <f t="shared" si="72"/>
        <v>364.2606080296431</v>
      </c>
      <c r="O155" s="87">
        <v>559.062</v>
      </c>
      <c r="P155" s="87">
        <v>531.674</v>
      </c>
      <c r="Q155" s="87">
        <f t="shared" si="73"/>
        <v>373.88086331341333</v>
      </c>
      <c r="R155" s="87">
        <v>377.039</v>
      </c>
    </row>
    <row r="156" spans="1:18" s="67" customFormat="1" ht="22.5">
      <c r="A156" s="85" t="s">
        <v>379</v>
      </c>
      <c r="B156" s="86" t="s">
        <v>380</v>
      </c>
      <c r="C156" s="87">
        <v>93.856</v>
      </c>
      <c r="D156" s="87">
        <v>70.79</v>
      </c>
      <c r="E156" s="87">
        <v>70.79</v>
      </c>
      <c r="F156" s="87">
        <v>70.79</v>
      </c>
      <c r="G156" s="87">
        <v>70.79</v>
      </c>
      <c r="H156" s="87">
        <v>75.597</v>
      </c>
      <c r="I156" s="87">
        <f t="shared" si="70"/>
        <v>74.06454650138387</v>
      </c>
      <c r="J156" s="87">
        <f t="shared" si="70"/>
        <v>74.06454650138387</v>
      </c>
      <c r="K156" s="87">
        <f t="shared" si="70"/>
        <v>74.06454650138387</v>
      </c>
      <c r="L156" s="87">
        <f t="shared" si="71"/>
        <v>74.06454650138387</v>
      </c>
      <c r="M156" s="87">
        <v>104.237</v>
      </c>
      <c r="N156" s="87">
        <f t="shared" si="72"/>
        <v>75.68826648043053</v>
      </c>
      <c r="O156" s="87">
        <v>187.961</v>
      </c>
      <c r="P156" s="87">
        <v>187.96200000000002</v>
      </c>
      <c r="Q156" s="87">
        <f t="shared" si="73"/>
        <v>77.68722115594821</v>
      </c>
      <c r="R156" s="87">
        <v>79.746</v>
      </c>
    </row>
    <row r="157" spans="1:18" s="67" customFormat="1" ht="11.25">
      <c r="A157" s="85" t="s">
        <v>865</v>
      </c>
      <c r="B157" s="86" t="s">
        <v>866</v>
      </c>
      <c r="C157" s="87"/>
      <c r="D157" s="87"/>
      <c r="E157" s="87"/>
      <c r="F157" s="87"/>
      <c r="G157" s="87"/>
      <c r="H157" s="87"/>
      <c r="I157" s="87"/>
      <c r="J157" s="87"/>
      <c r="K157" s="87"/>
      <c r="L157" s="87"/>
      <c r="M157" s="87">
        <v>1.1800000000000002</v>
      </c>
      <c r="N157" s="87"/>
      <c r="O157" s="87"/>
      <c r="P157" s="87"/>
      <c r="Q157" s="87"/>
      <c r="R157" s="87"/>
    </row>
    <row r="158" spans="1:18" s="67" customFormat="1" ht="22.5">
      <c r="A158" s="85" t="s">
        <v>381</v>
      </c>
      <c r="B158" s="86" t="s">
        <v>382</v>
      </c>
      <c r="C158" s="87">
        <v>477.635</v>
      </c>
      <c r="D158" s="87">
        <v>442.28</v>
      </c>
      <c r="E158" s="87">
        <v>442.28</v>
      </c>
      <c r="F158" s="91">
        <v>0</v>
      </c>
      <c r="G158" s="91">
        <v>0</v>
      </c>
      <c r="H158" s="87">
        <v>640.01</v>
      </c>
      <c r="I158" s="87">
        <f aca="true" t="shared" si="74" ref="I158:K160">D158*$J$4</f>
        <v>462.7386301261768</v>
      </c>
      <c r="J158" s="87">
        <f t="shared" si="74"/>
        <v>462.7386301261768</v>
      </c>
      <c r="K158" s="87">
        <f t="shared" si="74"/>
        <v>0</v>
      </c>
      <c r="L158" s="87">
        <f>G158*$L$4</f>
        <v>0</v>
      </c>
      <c r="M158" s="87">
        <v>681.1260000000001</v>
      </c>
      <c r="N158" s="87">
        <f>L158*$N$4</f>
        <v>0</v>
      </c>
      <c r="O158" s="87">
        <v>626.136</v>
      </c>
      <c r="P158" s="87">
        <v>626.136</v>
      </c>
      <c r="Q158" s="87">
        <f>N158*$Q$4</f>
        <v>0</v>
      </c>
      <c r="R158" s="87">
        <v>735.572</v>
      </c>
    </row>
    <row r="159" spans="1:18" s="67" customFormat="1" ht="11.25">
      <c r="A159" s="85" t="s">
        <v>383</v>
      </c>
      <c r="B159" s="86" t="s">
        <v>384</v>
      </c>
      <c r="C159" s="87">
        <v>11.639</v>
      </c>
      <c r="D159" s="87">
        <v>29</v>
      </c>
      <c r="E159" s="87">
        <f>29-29</f>
        <v>0</v>
      </c>
      <c r="F159" s="87">
        <f>29-29</f>
        <v>0</v>
      </c>
      <c r="G159" s="87">
        <f>29-29</f>
        <v>0</v>
      </c>
      <c r="H159" s="87">
        <v>17.548</v>
      </c>
      <c r="I159" s="87">
        <f t="shared" si="74"/>
        <v>30.3414585187192</v>
      </c>
      <c r="J159" s="87">
        <f t="shared" si="74"/>
        <v>0</v>
      </c>
      <c r="K159" s="87">
        <f t="shared" si="74"/>
        <v>0</v>
      </c>
      <c r="L159" s="87">
        <f>G159*$L$4</f>
        <v>0</v>
      </c>
      <c r="M159" s="87">
        <v>11.697999999999999</v>
      </c>
      <c r="N159" s="87">
        <f>L159*$N$4</f>
        <v>0</v>
      </c>
      <c r="O159" s="87">
        <v>154.46</v>
      </c>
      <c r="P159" s="87">
        <v>151.334</v>
      </c>
      <c r="Q159" s="87">
        <f>N159*$Q$4</f>
        <v>0</v>
      </c>
      <c r="R159" s="87">
        <v>13</v>
      </c>
    </row>
    <row r="160" spans="1:18" s="67" customFormat="1" ht="11.25">
      <c r="A160" s="85" t="s">
        <v>385</v>
      </c>
      <c r="B160" s="86" t="s">
        <v>867</v>
      </c>
      <c r="C160" s="87"/>
      <c r="D160" s="87"/>
      <c r="E160" s="87"/>
      <c r="F160" s="87">
        <v>0</v>
      </c>
      <c r="G160" s="87">
        <v>0</v>
      </c>
      <c r="H160" s="87">
        <v>9.088</v>
      </c>
      <c r="I160" s="87">
        <f t="shared" si="74"/>
        <v>0</v>
      </c>
      <c r="J160" s="87">
        <f t="shared" si="74"/>
        <v>0</v>
      </c>
      <c r="K160" s="87">
        <f t="shared" si="74"/>
        <v>0</v>
      </c>
      <c r="L160" s="87">
        <f>G160*$L$4</f>
        <v>0</v>
      </c>
      <c r="M160" s="87"/>
      <c r="N160" s="87">
        <f>L160*$N$4</f>
        <v>0</v>
      </c>
      <c r="O160" s="87"/>
      <c r="P160" s="87"/>
      <c r="Q160" s="87">
        <f>N160*$Q$4</f>
        <v>0</v>
      </c>
      <c r="R160" s="87">
        <v>54.69</v>
      </c>
    </row>
    <row r="161" spans="1:18" s="67" customFormat="1" ht="11.25">
      <c r="A161" s="166" t="s">
        <v>940</v>
      </c>
      <c r="B161" s="86" t="s">
        <v>941</v>
      </c>
      <c r="C161" s="87"/>
      <c r="D161" s="87"/>
      <c r="E161" s="87"/>
      <c r="F161" s="87"/>
      <c r="G161" s="87"/>
      <c r="H161" s="87"/>
      <c r="I161" s="87"/>
      <c r="J161" s="87"/>
      <c r="K161" s="87"/>
      <c r="L161" s="87"/>
      <c r="M161" s="87"/>
      <c r="N161" s="87"/>
      <c r="O161" s="87">
        <v>23.763</v>
      </c>
      <c r="P161" s="87">
        <v>23.289</v>
      </c>
      <c r="Q161" s="87"/>
      <c r="R161" s="87">
        <v>0</v>
      </c>
    </row>
    <row r="162" spans="1:18" s="67" customFormat="1" ht="11.25">
      <c r="A162" s="85" t="s">
        <v>868</v>
      </c>
      <c r="B162" s="86" t="s">
        <v>869</v>
      </c>
      <c r="C162" s="87"/>
      <c r="D162" s="87"/>
      <c r="E162" s="87"/>
      <c r="F162" s="87"/>
      <c r="G162" s="87"/>
      <c r="H162" s="87"/>
      <c r="I162" s="87"/>
      <c r="J162" s="87"/>
      <c r="K162" s="87"/>
      <c r="L162" s="87"/>
      <c r="M162" s="87"/>
      <c r="N162" s="87"/>
      <c r="O162" s="87">
        <v>35.3</v>
      </c>
      <c r="P162" s="87">
        <v>0</v>
      </c>
      <c r="Q162" s="87"/>
      <c r="R162" s="87">
        <v>0</v>
      </c>
    </row>
    <row r="163" spans="1:18" s="67" customFormat="1" ht="33.75">
      <c r="A163" s="85" t="s">
        <v>870</v>
      </c>
      <c r="B163" s="86" t="s">
        <v>871</v>
      </c>
      <c r="C163" s="87"/>
      <c r="D163" s="87"/>
      <c r="E163" s="87"/>
      <c r="F163" s="87"/>
      <c r="G163" s="87"/>
      <c r="H163" s="87"/>
      <c r="I163" s="87"/>
      <c r="J163" s="87"/>
      <c r="K163" s="87"/>
      <c r="L163" s="87"/>
      <c r="M163" s="87">
        <v>258.23699999999997</v>
      </c>
      <c r="N163" s="87"/>
      <c r="O163" s="87">
        <v>245.605</v>
      </c>
      <c r="P163" s="87">
        <v>241.498</v>
      </c>
      <c r="Q163" s="87"/>
      <c r="R163" s="87">
        <v>0</v>
      </c>
    </row>
    <row r="164" spans="1:18" s="67" customFormat="1" ht="22.5">
      <c r="A164" s="85" t="s">
        <v>872</v>
      </c>
      <c r="B164" s="86" t="s">
        <v>873</v>
      </c>
      <c r="C164" s="87"/>
      <c r="D164" s="87"/>
      <c r="E164" s="87"/>
      <c r="F164" s="87"/>
      <c r="G164" s="87"/>
      <c r="H164" s="87"/>
      <c r="I164" s="87"/>
      <c r="J164" s="87"/>
      <c r="K164" s="87"/>
      <c r="L164" s="87"/>
      <c r="M164" s="87">
        <v>9.751000000000001</v>
      </c>
      <c r="N164" s="87"/>
      <c r="O164" s="87">
        <v>6.435</v>
      </c>
      <c r="P164" s="87">
        <v>6.2940000000000005</v>
      </c>
      <c r="Q164" s="87"/>
      <c r="R164" s="87">
        <v>0</v>
      </c>
    </row>
    <row r="165" spans="1:18" s="67" customFormat="1" ht="22.5">
      <c r="A165" s="73" t="s">
        <v>386</v>
      </c>
      <c r="B165" s="84" t="s">
        <v>387</v>
      </c>
      <c r="C165" s="75">
        <f>SUM(C166,C172)</f>
        <v>4657.9490000000005</v>
      </c>
      <c r="D165" s="75">
        <v>4204.762000000001</v>
      </c>
      <c r="E165" s="75">
        <v>4204.762000000001</v>
      </c>
      <c r="F165" s="75">
        <f>E165-53.91</f>
        <v>4150.852000000001</v>
      </c>
      <c r="G165" s="75">
        <f>4204.762-53.91</f>
        <v>4150.852</v>
      </c>
      <c r="H165" s="75">
        <f>SUM(H166,H172)</f>
        <v>4956.07</v>
      </c>
      <c r="I165" s="75">
        <f>D165*$J$4</f>
        <v>4399.262476002993</v>
      </c>
      <c r="J165" s="75">
        <f>E165*$J$4</f>
        <v>4399.262476002993</v>
      </c>
      <c r="K165" s="75">
        <f>F165*$J$4</f>
        <v>4342.858750873885</v>
      </c>
      <c r="L165" s="75">
        <f>G165*$L$4</f>
        <v>4342.858750873884</v>
      </c>
      <c r="M165" s="75">
        <f>SUM(M166,M172)</f>
        <v>6564.865</v>
      </c>
      <c r="N165" s="75">
        <f>L165*$N$4</f>
        <v>4438.0674148443</v>
      </c>
      <c r="O165" s="75">
        <f>SUM(O166,O172)</f>
        <v>2786.3689999999997</v>
      </c>
      <c r="P165" s="75">
        <f>SUM(P166,P172)</f>
        <v>2771.465</v>
      </c>
      <c r="Q165" s="75">
        <f>N165*$Q$4</f>
        <v>4555.278391151433</v>
      </c>
      <c r="R165" s="75">
        <f>SUM(R166,R172)</f>
        <v>3291.9199999999996</v>
      </c>
    </row>
    <row r="166" spans="1:18" s="67" customFormat="1" ht="22.5">
      <c r="A166" s="73" t="s">
        <v>388</v>
      </c>
      <c r="B166" s="84" t="s">
        <v>389</v>
      </c>
      <c r="C166" s="75">
        <f aca="true" t="shared" si="75" ref="C166:H166">SUM(C167:C171)</f>
        <v>2634.913</v>
      </c>
      <c r="D166" s="75">
        <f t="shared" si="75"/>
        <v>0</v>
      </c>
      <c r="E166" s="75">
        <f t="shared" si="75"/>
        <v>0</v>
      </c>
      <c r="F166" s="75">
        <f t="shared" si="75"/>
        <v>0</v>
      </c>
      <c r="G166" s="75">
        <f t="shared" si="75"/>
        <v>0</v>
      </c>
      <c r="H166" s="75">
        <f t="shared" si="75"/>
        <v>1806.826</v>
      </c>
      <c r="I166" s="75">
        <f aca="true" t="shared" si="76" ref="I166:N166">SUM(I167:I171)</f>
        <v>0</v>
      </c>
      <c r="J166" s="75">
        <f t="shared" si="76"/>
        <v>0</v>
      </c>
      <c r="K166" s="75">
        <f t="shared" si="76"/>
        <v>0</v>
      </c>
      <c r="L166" s="75">
        <f t="shared" si="76"/>
        <v>0</v>
      </c>
      <c r="M166" s="75">
        <f>SUM(M167:M171)</f>
        <v>4514.585</v>
      </c>
      <c r="N166" s="75">
        <f t="shared" si="76"/>
        <v>0</v>
      </c>
      <c r="O166" s="75">
        <f>SUM(O167:O171)</f>
        <v>1654.41</v>
      </c>
      <c r="P166" s="75">
        <f>SUM(P167:P171)</f>
        <v>1648.6779999999999</v>
      </c>
      <c r="Q166" s="75">
        <f>SUM(Q167:Q171)</f>
        <v>0</v>
      </c>
      <c r="R166" s="75">
        <f>SUM(R167:R171)</f>
        <v>1526.8809999999999</v>
      </c>
    </row>
    <row r="167" spans="1:18" s="67" customFormat="1" ht="22.5">
      <c r="A167" s="85" t="s">
        <v>390</v>
      </c>
      <c r="B167" s="86" t="s">
        <v>391</v>
      </c>
      <c r="C167" s="87">
        <v>1088.365</v>
      </c>
      <c r="D167" s="87"/>
      <c r="E167" s="87"/>
      <c r="F167" s="87"/>
      <c r="G167" s="87"/>
      <c r="H167" s="87">
        <v>707.914</v>
      </c>
      <c r="I167" s="87"/>
      <c r="J167" s="87"/>
      <c r="K167" s="87"/>
      <c r="L167" s="92"/>
      <c r="M167" s="87">
        <v>1688.389</v>
      </c>
      <c r="N167" s="87"/>
      <c r="O167" s="87">
        <v>782.7</v>
      </c>
      <c r="P167" s="87">
        <v>781.019</v>
      </c>
      <c r="Q167" s="87"/>
      <c r="R167" s="87">
        <v>603.627</v>
      </c>
    </row>
    <row r="168" spans="1:18" s="67" customFormat="1" ht="22.5">
      <c r="A168" s="85" t="s">
        <v>392</v>
      </c>
      <c r="B168" s="86" t="s">
        <v>393</v>
      </c>
      <c r="C168" s="87">
        <v>1045.454</v>
      </c>
      <c r="D168" s="87"/>
      <c r="E168" s="87"/>
      <c r="F168" s="87"/>
      <c r="G168" s="87"/>
      <c r="H168" s="87">
        <v>779.817</v>
      </c>
      <c r="I168" s="87"/>
      <c r="J168" s="87"/>
      <c r="K168" s="87"/>
      <c r="L168" s="92"/>
      <c r="M168" s="87">
        <v>2093.859</v>
      </c>
      <c r="N168" s="87"/>
      <c r="O168" s="87">
        <v>605.3</v>
      </c>
      <c r="P168" s="87">
        <v>602.052</v>
      </c>
      <c r="Q168" s="87"/>
      <c r="R168" s="87">
        <v>674.881</v>
      </c>
    </row>
    <row r="169" spans="1:18" s="67" customFormat="1" ht="33.75">
      <c r="A169" s="85" t="s">
        <v>394</v>
      </c>
      <c r="B169" s="86" t="s">
        <v>395</v>
      </c>
      <c r="C169" s="87">
        <v>1.793</v>
      </c>
      <c r="D169" s="87"/>
      <c r="E169" s="87"/>
      <c r="F169" s="87"/>
      <c r="G169" s="87"/>
      <c r="H169" s="87">
        <v>1.428</v>
      </c>
      <c r="I169" s="87"/>
      <c r="J169" s="87"/>
      <c r="K169" s="87"/>
      <c r="L169" s="92"/>
      <c r="M169" s="87">
        <v>0.225</v>
      </c>
      <c r="N169" s="87"/>
      <c r="O169" s="87">
        <v>0.979</v>
      </c>
      <c r="P169" s="87">
        <v>0.979</v>
      </c>
      <c r="Q169" s="87"/>
      <c r="R169" s="87"/>
    </row>
    <row r="170" spans="1:18" s="67" customFormat="1" ht="33.75">
      <c r="A170" s="85" t="s">
        <v>396</v>
      </c>
      <c r="B170" s="86" t="s">
        <v>397</v>
      </c>
      <c r="C170" s="87">
        <v>9.562</v>
      </c>
      <c r="D170" s="87"/>
      <c r="E170" s="87"/>
      <c r="F170" s="87"/>
      <c r="G170" s="87"/>
      <c r="H170" s="87">
        <v>27.012</v>
      </c>
      <c r="I170" s="87"/>
      <c r="J170" s="87"/>
      <c r="K170" s="87"/>
      <c r="L170" s="92"/>
      <c r="M170" s="87">
        <v>34.463</v>
      </c>
      <c r="N170" s="87"/>
      <c r="O170" s="87">
        <v>0</v>
      </c>
      <c r="P170" s="87">
        <v>0</v>
      </c>
      <c r="Q170" s="87"/>
      <c r="R170" s="87"/>
    </row>
    <row r="171" spans="1:18" s="67" customFormat="1" ht="22.5">
      <c r="A171" s="85" t="s">
        <v>398</v>
      </c>
      <c r="B171" s="86" t="s">
        <v>399</v>
      </c>
      <c r="C171" s="87">
        <v>489.739</v>
      </c>
      <c r="D171" s="87"/>
      <c r="E171" s="87"/>
      <c r="F171" s="87"/>
      <c r="G171" s="87"/>
      <c r="H171" s="87">
        <v>290.655</v>
      </c>
      <c r="I171" s="87"/>
      <c r="J171" s="87"/>
      <c r="K171" s="87"/>
      <c r="L171" s="92"/>
      <c r="M171" s="87">
        <v>697.6490000000001</v>
      </c>
      <c r="N171" s="87"/>
      <c r="O171" s="87">
        <v>265.431</v>
      </c>
      <c r="P171" s="87">
        <v>264.628</v>
      </c>
      <c r="Q171" s="87"/>
      <c r="R171" s="87">
        <v>248.373</v>
      </c>
    </row>
    <row r="172" spans="1:18" s="67" customFormat="1" ht="22.5">
      <c r="A172" s="73" t="s">
        <v>400</v>
      </c>
      <c r="B172" s="84" t="s">
        <v>401</v>
      </c>
      <c r="C172" s="75">
        <f aca="true" t="shared" si="77" ref="C172:H172">SUM(C173:C177)</f>
        <v>2023.036</v>
      </c>
      <c r="D172" s="75">
        <f t="shared" si="77"/>
        <v>0</v>
      </c>
      <c r="E172" s="75">
        <f t="shared" si="77"/>
        <v>0</v>
      </c>
      <c r="F172" s="75">
        <f t="shared" si="77"/>
        <v>0</v>
      </c>
      <c r="G172" s="75">
        <f t="shared" si="77"/>
        <v>0</v>
      </c>
      <c r="H172" s="75">
        <f t="shared" si="77"/>
        <v>3149.244</v>
      </c>
      <c r="I172" s="75">
        <f aca="true" t="shared" si="78" ref="I172:N172">SUM(I173:I177)</f>
        <v>0</v>
      </c>
      <c r="J172" s="75">
        <f t="shared" si="78"/>
        <v>0</v>
      </c>
      <c r="K172" s="75">
        <f t="shared" si="78"/>
        <v>0</v>
      </c>
      <c r="L172" s="75">
        <f t="shared" si="78"/>
        <v>0</v>
      </c>
      <c r="M172" s="75">
        <f>SUM(M173:M177)</f>
        <v>2050.2799999999997</v>
      </c>
      <c r="N172" s="75">
        <f t="shared" si="78"/>
        <v>0</v>
      </c>
      <c r="O172" s="75">
        <f>SUM(O173:O177)</f>
        <v>1131.9589999999998</v>
      </c>
      <c r="P172" s="75">
        <f>SUM(P173:P177)</f>
        <v>1122.787</v>
      </c>
      <c r="Q172" s="75">
        <f>SUM(Q173:Q177)</f>
        <v>0</v>
      </c>
      <c r="R172" s="75">
        <f>SUM(R173:R177)</f>
        <v>1765.0389999999998</v>
      </c>
    </row>
    <row r="173" spans="1:18" s="67" customFormat="1" ht="22.5">
      <c r="A173" s="85" t="s">
        <v>402</v>
      </c>
      <c r="B173" s="86" t="s">
        <v>403</v>
      </c>
      <c r="C173" s="87">
        <v>1311.338</v>
      </c>
      <c r="D173" s="87"/>
      <c r="E173" s="87"/>
      <c r="F173" s="87"/>
      <c r="G173" s="87"/>
      <c r="H173" s="87">
        <v>1372.548</v>
      </c>
      <c r="I173" s="87"/>
      <c r="J173" s="87"/>
      <c r="K173" s="87"/>
      <c r="L173" s="92"/>
      <c r="M173" s="87">
        <v>921.361</v>
      </c>
      <c r="N173" s="87"/>
      <c r="O173" s="87">
        <v>765.664</v>
      </c>
      <c r="P173" s="87">
        <v>759.749</v>
      </c>
      <c r="Q173" s="87"/>
      <c r="R173" s="87">
        <v>1103.387</v>
      </c>
    </row>
    <row r="174" spans="1:18" s="67" customFormat="1" ht="22.5">
      <c r="A174" s="85" t="s">
        <v>404</v>
      </c>
      <c r="B174" s="86" t="s">
        <v>405</v>
      </c>
      <c r="C174" s="87">
        <v>677.052</v>
      </c>
      <c r="D174" s="87"/>
      <c r="E174" s="87"/>
      <c r="F174" s="87"/>
      <c r="G174" s="87"/>
      <c r="H174" s="87">
        <v>1670.613</v>
      </c>
      <c r="I174" s="87"/>
      <c r="J174" s="87"/>
      <c r="K174" s="87"/>
      <c r="L174" s="92"/>
      <c r="M174" s="87">
        <v>985.032</v>
      </c>
      <c r="N174" s="87"/>
      <c r="O174" s="87">
        <v>312.447</v>
      </c>
      <c r="P174" s="87">
        <v>309.85</v>
      </c>
      <c r="Q174" s="87"/>
      <c r="R174" s="87">
        <v>555.953</v>
      </c>
    </row>
    <row r="175" spans="1:18" s="67" customFormat="1" ht="22.5">
      <c r="A175" s="85" t="s">
        <v>406</v>
      </c>
      <c r="B175" s="86" t="s">
        <v>407</v>
      </c>
      <c r="C175" s="87">
        <v>0.486</v>
      </c>
      <c r="D175" s="87"/>
      <c r="E175" s="87"/>
      <c r="F175" s="87"/>
      <c r="G175" s="87"/>
      <c r="H175" s="87">
        <v>3.435</v>
      </c>
      <c r="I175" s="87"/>
      <c r="J175" s="87"/>
      <c r="K175" s="87"/>
      <c r="L175" s="92"/>
      <c r="M175" s="87">
        <v>3.917</v>
      </c>
      <c r="N175" s="87"/>
      <c r="O175" s="87">
        <v>0</v>
      </c>
      <c r="P175" s="87">
        <v>0</v>
      </c>
      <c r="Q175" s="87"/>
      <c r="R175" s="87"/>
    </row>
    <row r="176" spans="1:18" s="67" customFormat="1" ht="22.5">
      <c r="A176" s="85" t="s">
        <v>408</v>
      </c>
      <c r="B176" s="86" t="s">
        <v>409</v>
      </c>
      <c r="C176" s="87">
        <v>6.219</v>
      </c>
      <c r="D176" s="87"/>
      <c r="E176" s="87"/>
      <c r="F176" s="87"/>
      <c r="G176" s="87"/>
      <c r="H176" s="87">
        <v>71.201</v>
      </c>
      <c r="I176" s="87"/>
      <c r="J176" s="87"/>
      <c r="K176" s="87"/>
      <c r="L176" s="92"/>
      <c r="M176" s="87">
        <v>111.827</v>
      </c>
      <c r="N176" s="87"/>
      <c r="O176" s="87">
        <v>47.148</v>
      </c>
      <c r="P176" s="87">
        <v>46.503</v>
      </c>
      <c r="Q176" s="87"/>
      <c r="R176" s="87">
        <v>64.591</v>
      </c>
    </row>
    <row r="177" spans="1:18" s="67" customFormat="1" ht="22.5">
      <c r="A177" s="85" t="s">
        <v>410</v>
      </c>
      <c r="B177" s="86" t="s">
        <v>411</v>
      </c>
      <c r="C177" s="87">
        <v>27.941</v>
      </c>
      <c r="D177" s="87"/>
      <c r="E177" s="87"/>
      <c r="F177" s="87"/>
      <c r="G177" s="87"/>
      <c r="H177" s="87">
        <v>31.447</v>
      </c>
      <c r="I177" s="87"/>
      <c r="J177" s="87"/>
      <c r="K177" s="87"/>
      <c r="L177" s="92"/>
      <c r="M177" s="87">
        <v>28.143</v>
      </c>
      <c r="N177" s="87"/>
      <c r="O177" s="87">
        <v>6.7</v>
      </c>
      <c r="P177" s="87">
        <v>6.685</v>
      </c>
      <c r="Q177" s="87"/>
      <c r="R177" s="87">
        <v>41.108</v>
      </c>
    </row>
    <row r="178" spans="1:18" s="67" customFormat="1" ht="11.25">
      <c r="A178" s="85" t="s">
        <v>412</v>
      </c>
      <c r="B178" s="86"/>
      <c r="C178" s="87"/>
      <c r="D178" s="87"/>
      <c r="E178" s="87"/>
      <c r="F178" s="87"/>
      <c r="G178" s="87"/>
      <c r="H178" s="87"/>
      <c r="I178" s="87"/>
      <c r="J178" s="87"/>
      <c r="K178" s="87"/>
      <c r="L178" s="92"/>
      <c r="M178" s="87"/>
      <c r="N178" s="87"/>
      <c r="O178" s="87">
        <v>0</v>
      </c>
      <c r="P178" s="87">
        <v>0</v>
      </c>
      <c r="Q178" s="87"/>
      <c r="R178" s="87"/>
    </row>
    <row r="179" spans="1:18" s="67" customFormat="1" ht="11.25">
      <c r="A179" s="73" t="s">
        <v>413</v>
      </c>
      <c r="B179" s="84" t="s">
        <v>414</v>
      </c>
      <c r="C179" s="75">
        <f aca="true" t="shared" si="79" ref="C179:N179">SUM(C180:C185)</f>
        <v>7003.706999999999</v>
      </c>
      <c r="D179" s="75">
        <f t="shared" si="79"/>
        <v>5643.64</v>
      </c>
      <c r="E179" s="75">
        <f t="shared" si="79"/>
        <v>4868.360000000001</v>
      </c>
      <c r="F179" s="75">
        <f t="shared" si="79"/>
        <v>1414.5500000000002</v>
      </c>
      <c r="G179" s="75">
        <f t="shared" si="79"/>
        <v>4868.360000000001</v>
      </c>
      <c r="H179" s="75">
        <f>SUM(H180:H185)</f>
        <v>6842.709</v>
      </c>
      <c r="I179" s="75">
        <f>SUM(I180:I185)</f>
        <v>5904.698929468429</v>
      </c>
      <c r="J179" s="75">
        <f t="shared" si="79"/>
        <v>5093.556654972132</v>
      </c>
      <c r="K179" s="75">
        <f t="shared" si="79"/>
        <v>1479.9831085398016</v>
      </c>
      <c r="L179" s="75">
        <f t="shared" si="79"/>
        <v>5093.556654972132</v>
      </c>
      <c r="M179" s="75">
        <f>SUM(M180:M185)</f>
        <v>6859.297999999999</v>
      </c>
      <c r="N179" s="75">
        <f t="shared" si="79"/>
        <v>5205.2228987522085</v>
      </c>
      <c r="O179" s="75">
        <f>SUM(O180:O185)</f>
        <v>13270.936</v>
      </c>
      <c r="P179" s="75">
        <f>SUM(P180:P185)</f>
        <v>13026.582</v>
      </c>
      <c r="Q179" s="75">
        <f>SUM(Q180:Q185)</f>
        <v>5342.694730707333</v>
      </c>
      <c r="R179" s="75">
        <f>SUM(R180:R185)</f>
        <v>23210.068</v>
      </c>
    </row>
    <row r="180" spans="1:18" s="67" customFormat="1" ht="33.75">
      <c r="A180" s="85" t="s">
        <v>415</v>
      </c>
      <c r="B180" s="86" t="s">
        <v>416</v>
      </c>
      <c r="C180" s="87">
        <v>1036.376</v>
      </c>
      <c r="D180" s="87">
        <v>1345.91</v>
      </c>
      <c r="E180" s="87">
        <v>1345.91</v>
      </c>
      <c r="F180" s="87">
        <v>1345.91</v>
      </c>
      <c r="G180" s="87">
        <v>1345.91</v>
      </c>
      <c r="H180" s="87">
        <v>1128.178</v>
      </c>
      <c r="I180" s="87">
        <f aca="true" t="shared" si="80" ref="I180:K186">D180*$J$4</f>
        <v>1408.1680149975641</v>
      </c>
      <c r="J180" s="87">
        <f t="shared" si="80"/>
        <v>1408.1680149975641</v>
      </c>
      <c r="K180" s="87">
        <f t="shared" si="80"/>
        <v>1408.1680149975641</v>
      </c>
      <c r="L180" s="87">
        <f aca="true" t="shared" si="81" ref="L180:L186">G180*$L$4</f>
        <v>1408.1680149975641</v>
      </c>
      <c r="M180" s="87">
        <v>1085.667</v>
      </c>
      <c r="N180" s="87">
        <f aca="true" t="shared" si="82" ref="N180:N186">L180*$N$4</f>
        <v>1439.0393380233968</v>
      </c>
      <c r="O180" s="87">
        <v>872.826</v>
      </c>
      <c r="P180" s="87">
        <v>830.458</v>
      </c>
      <c r="Q180" s="87">
        <f aca="true" t="shared" si="83" ref="Q180:Q186">N180*$Q$4</f>
        <v>1477.0448908885755</v>
      </c>
      <c r="R180" s="87">
        <v>974</v>
      </c>
    </row>
    <row r="181" spans="1:18" s="67" customFormat="1" ht="33.75">
      <c r="A181" s="85" t="s">
        <v>417</v>
      </c>
      <c r="B181" s="86" t="s">
        <v>418</v>
      </c>
      <c r="C181" s="87">
        <v>51.706</v>
      </c>
      <c r="D181" s="87">
        <v>68.64</v>
      </c>
      <c r="E181" s="87">
        <v>68.64</v>
      </c>
      <c r="F181" s="87">
        <v>68.64</v>
      </c>
      <c r="G181" s="87">
        <v>68.64</v>
      </c>
      <c r="H181" s="87">
        <v>43.358</v>
      </c>
      <c r="I181" s="87">
        <f t="shared" si="80"/>
        <v>71.81509354223745</v>
      </c>
      <c r="J181" s="87">
        <f t="shared" si="80"/>
        <v>71.81509354223745</v>
      </c>
      <c r="K181" s="87">
        <f t="shared" si="80"/>
        <v>71.81509354223745</v>
      </c>
      <c r="L181" s="87">
        <f t="shared" si="81"/>
        <v>71.81509354223745</v>
      </c>
      <c r="M181" s="87">
        <v>39.46</v>
      </c>
      <c r="N181" s="87">
        <f t="shared" si="82"/>
        <v>73.38949867519072</v>
      </c>
      <c r="O181" s="87">
        <v>42.273</v>
      </c>
      <c r="P181" s="87">
        <v>40.099</v>
      </c>
      <c r="Q181" s="87">
        <f t="shared" si="83"/>
        <v>75.32774205600064</v>
      </c>
      <c r="R181" s="87">
        <v>47.639</v>
      </c>
    </row>
    <row r="182" spans="1:18" s="67" customFormat="1" ht="22.5">
      <c r="A182" s="85" t="s">
        <v>419</v>
      </c>
      <c r="B182" s="86" t="s">
        <v>420</v>
      </c>
      <c r="C182" s="87">
        <v>3658.827</v>
      </c>
      <c r="D182" s="87">
        <v>4229.09</v>
      </c>
      <c r="E182" s="87">
        <f>4229.09-775.28</f>
        <v>3453.8100000000004</v>
      </c>
      <c r="F182" s="91">
        <v>0</v>
      </c>
      <c r="G182" s="167">
        <f>4229.09-775.28</f>
        <v>3453.8100000000004</v>
      </c>
      <c r="H182" s="87">
        <v>3453.808</v>
      </c>
      <c r="I182" s="87">
        <f t="shared" si="80"/>
        <v>4424.715820928627</v>
      </c>
      <c r="J182" s="87">
        <f t="shared" si="80"/>
        <v>3613.57354643233</v>
      </c>
      <c r="K182" s="87">
        <f t="shared" si="80"/>
        <v>0</v>
      </c>
      <c r="L182" s="87">
        <f t="shared" si="81"/>
        <v>3613.57354643233</v>
      </c>
      <c r="M182" s="87">
        <v>3504.397</v>
      </c>
      <c r="N182" s="87">
        <f t="shared" si="82"/>
        <v>3692.7940620536206</v>
      </c>
      <c r="O182" s="87">
        <v>3607.588</v>
      </c>
      <c r="P182" s="87">
        <v>3570.2129999999997</v>
      </c>
      <c r="Q182" s="87">
        <f t="shared" si="83"/>
        <v>3790.3220977627566</v>
      </c>
      <c r="R182" s="87">
        <v>7217.664</v>
      </c>
    </row>
    <row r="183" spans="1:18" s="67" customFormat="1" ht="22.5">
      <c r="A183" s="85" t="s">
        <v>421</v>
      </c>
      <c r="B183" s="86" t="s">
        <v>422</v>
      </c>
      <c r="C183" s="87">
        <v>101.124</v>
      </c>
      <c r="D183" s="87">
        <v>0</v>
      </c>
      <c r="E183" s="87">
        <v>0</v>
      </c>
      <c r="F183" s="87">
        <v>0</v>
      </c>
      <c r="G183" s="87">
        <v>0</v>
      </c>
      <c r="H183" s="87">
        <v>89.897</v>
      </c>
      <c r="I183" s="87">
        <f t="shared" si="80"/>
        <v>0</v>
      </c>
      <c r="J183" s="87">
        <f t="shared" si="80"/>
        <v>0</v>
      </c>
      <c r="K183" s="87">
        <f t="shared" si="80"/>
        <v>0</v>
      </c>
      <c r="L183" s="87">
        <f t="shared" si="81"/>
        <v>0</v>
      </c>
      <c r="M183" s="87">
        <v>93.092</v>
      </c>
      <c r="N183" s="87">
        <f t="shared" si="82"/>
        <v>0</v>
      </c>
      <c r="O183" s="87">
        <v>151.929</v>
      </c>
      <c r="P183" s="87">
        <v>144.447</v>
      </c>
      <c r="Q183" s="87">
        <f t="shared" si="83"/>
        <v>0</v>
      </c>
      <c r="R183" s="87">
        <v>170.639</v>
      </c>
    </row>
    <row r="184" spans="1:18" s="67" customFormat="1" ht="22.5">
      <c r="A184" s="85" t="s">
        <v>423</v>
      </c>
      <c r="B184" s="86" t="s">
        <v>424</v>
      </c>
      <c r="C184" s="87">
        <v>140.445</v>
      </c>
      <c r="D184" s="87">
        <v>0</v>
      </c>
      <c r="E184" s="87">
        <v>0</v>
      </c>
      <c r="F184" s="87">
        <v>0</v>
      </c>
      <c r="G184" s="87">
        <v>0</v>
      </c>
      <c r="H184" s="87">
        <v>139.458</v>
      </c>
      <c r="I184" s="87">
        <f t="shared" si="80"/>
        <v>0</v>
      </c>
      <c r="J184" s="87">
        <f t="shared" si="80"/>
        <v>0</v>
      </c>
      <c r="K184" s="87">
        <f t="shared" si="80"/>
        <v>0</v>
      </c>
      <c r="L184" s="87">
        <f t="shared" si="81"/>
        <v>0</v>
      </c>
      <c r="M184" s="87">
        <v>140.156</v>
      </c>
      <c r="N184" s="87">
        <f t="shared" si="82"/>
        <v>0</v>
      </c>
      <c r="O184" s="87">
        <v>477.058</v>
      </c>
      <c r="P184" s="87">
        <v>468.846</v>
      </c>
      <c r="Q184" s="87">
        <f t="shared" si="83"/>
        <v>0</v>
      </c>
      <c r="R184" s="87">
        <v>557.869</v>
      </c>
    </row>
    <row r="185" spans="1:18" s="67" customFormat="1" ht="22.5">
      <c r="A185" s="85" t="s">
        <v>425</v>
      </c>
      <c r="B185" s="86" t="s">
        <v>426</v>
      </c>
      <c r="C185" s="87">
        <v>2015.229</v>
      </c>
      <c r="D185" s="87">
        <v>0</v>
      </c>
      <c r="E185" s="87">
        <v>0</v>
      </c>
      <c r="F185" s="87">
        <v>0</v>
      </c>
      <c r="G185" s="87">
        <v>0</v>
      </c>
      <c r="H185" s="87">
        <v>1988.01</v>
      </c>
      <c r="I185" s="87">
        <f t="shared" si="80"/>
        <v>0</v>
      </c>
      <c r="J185" s="87">
        <f t="shared" si="80"/>
        <v>0</v>
      </c>
      <c r="K185" s="87">
        <f t="shared" si="80"/>
        <v>0</v>
      </c>
      <c r="L185" s="87">
        <f t="shared" si="81"/>
        <v>0</v>
      </c>
      <c r="M185" s="87">
        <v>1996.5259999999998</v>
      </c>
      <c r="N185" s="87">
        <f t="shared" si="82"/>
        <v>0</v>
      </c>
      <c r="O185" s="87">
        <v>8119.262</v>
      </c>
      <c r="P185" s="87">
        <v>7972.519</v>
      </c>
      <c r="Q185" s="87">
        <f t="shared" si="83"/>
        <v>0</v>
      </c>
      <c r="R185" s="87">
        <v>14242.257</v>
      </c>
    </row>
    <row r="186" spans="1:18" s="67" customFormat="1" ht="22.5">
      <c r="A186" s="85" t="s">
        <v>427</v>
      </c>
      <c r="B186" s="86" t="s">
        <v>428</v>
      </c>
      <c r="C186" s="87">
        <v>387.381</v>
      </c>
      <c r="D186" s="87">
        <v>322.4</v>
      </c>
      <c r="E186" s="87">
        <v>322.4</v>
      </c>
      <c r="F186" s="87">
        <v>322.4</v>
      </c>
      <c r="G186" s="87">
        <v>322.4</v>
      </c>
      <c r="H186" s="87">
        <v>139.802</v>
      </c>
      <c r="I186" s="87">
        <f t="shared" si="80"/>
        <v>337.31331815293345</v>
      </c>
      <c r="J186" s="87">
        <f t="shared" si="80"/>
        <v>337.31331815293345</v>
      </c>
      <c r="K186" s="87">
        <f t="shared" si="80"/>
        <v>337.31331815293345</v>
      </c>
      <c r="L186" s="87">
        <f t="shared" si="81"/>
        <v>337.31331815293345</v>
      </c>
      <c r="M186" s="87">
        <v>84.5</v>
      </c>
      <c r="N186" s="87">
        <f t="shared" si="82"/>
        <v>344.7082513531686</v>
      </c>
      <c r="O186" s="87">
        <v>220</v>
      </c>
      <c r="P186" s="87">
        <v>220</v>
      </c>
      <c r="Q186" s="87">
        <f t="shared" si="83"/>
        <v>353.81212177818486</v>
      </c>
      <c r="R186" s="87">
        <v>351.533</v>
      </c>
    </row>
    <row r="187" spans="1:18" s="67" customFormat="1" ht="11.25">
      <c r="A187" s="73" t="s">
        <v>429</v>
      </c>
      <c r="B187" s="84" t="s">
        <v>430</v>
      </c>
      <c r="C187" s="75">
        <f>SUM(C188,C194:C198,C205)+C201+C206+C207+C208+C209</f>
        <v>6756.629999999999</v>
      </c>
      <c r="D187" s="75">
        <f>SUM(D188,D194:D198,D205)+D201+D206+D207+D208+D209</f>
        <v>9458.478911199998</v>
      </c>
      <c r="E187" s="75">
        <f>SUM(E188,E194:E198,E205)+E201+E206+E207+E208+E209</f>
        <v>9458.478911199998</v>
      </c>
      <c r="F187" s="75">
        <f>SUM(F188,F194:F198,F205)+F201+F206+F207+F208+F209</f>
        <v>8919.3789112</v>
      </c>
      <c r="G187" s="75">
        <f>SUM(G188,G194:G198,G208)+G201+G209+G205+G206</f>
        <v>9400.638911199998</v>
      </c>
      <c r="H187" s="75">
        <f>SUM(H188,H194:H198,H205)+H201+H206+H207+H208+H209</f>
        <v>4208.787</v>
      </c>
      <c r="I187" s="75">
        <f>SUM(I188,I194:I198,I205)+I201+I206+I207+I208+I209</f>
        <v>9896.001570150178</v>
      </c>
      <c r="J187" s="75">
        <f>SUM(J188,J194:J198,J205)+J201+J206+J207+J208+J209</f>
        <v>9896.001570150178</v>
      </c>
      <c r="K187" s="75">
        <f>SUM(K188,K194:K198,K205)+K201+K206+K207+K208+K209</f>
        <v>9331.96431885909</v>
      </c>
      <c r="L187" s="75">
        <f>SUM(L188,L194:L198,L208)+L201+L209+L205+L206</f>
        <v>9835.486054263189</v>
      </c>
      <c r="M187" s="75">
        <f aca="true" t="shared" si="84" ref="M187:R187">SUM(M188,M194:M198,M205)+M201+M206+M207+M208+M209</f>
        <v>36357.412</v>
      </c>
      <c r="N187" s="75">
        <f t="shared" si="84"/>
        <v>10051.109803605168</v>
      </c>
      <c r="O187" s="75">
        <f t="shared" si="84"/>
        <v>41587.706</v>
      </c>
      <c r="P187" s="75">
        <f t="shared" si="84"/>
        <v>41467.49199999999</v>
      </c>
      <c r="Q187" s="75">
        <f t="shared" si="84"/>
        <v>10316.563273083864</v>
      </c>
      <c r="R187" s="75">
        <f t="shared" si="84"/>
        <v>44727.35199999999</v>
      </c>
    </row>
    <row r="188" spans="1:18" s="67" customFormat="1" ht="11.25">
      <c r="A188" s="73" t="s">
        <v>431</v>
      </c>
      <c r="B188" s="84" t="s">
        <v>432</v>
      </c>
      <c r="C188" s="75">
        <f>SUM(C189:C192)</f>
        <v>3544.727</v>
      </c>
      <c r="D188" s="75">
        <f>SUM(D189:D193)</f>
        <v>4995.36</v>
      </c>
      <c r="E188" s="75">
        <f>SUM(E189:E193)</f>
        <v>4995.36</v>
      </c>
      <c r="F188" s="75">
        <f>SUM(F189:F193)</f>
        <v>4995.36</v>
      </c>
      <c r="G188" s="75">
        <f>SUM(G189:G193)</f>
        <v>4995.36</v>
      </c>
      <c r="H188" s="75">
        <f>SUM(H189:H192)</f>
        <v>969.84</v>
      </c>
      <c r="I188" s="75">
        <f>SUM(I189:I193)</f>
        <v>5226.431318140316</v>
      </c>
      <c r="J188" s="75">
        <f>SUM(J189:J193)</f>
        <v>5226.431318140316</v>
      </c>
      <c r="K188" s="75">
        <f>SUM(K189:K193)</f>
        <v>5226.431318140316</v>
      </c>
      <c r="L188" s="75">
        <f>SUM(L189:L193)</f>
        <v>5226.431318140316</v>
      </c>
      <c r="M188" s="75">
        <f>SUM(M189:M192)</f>
        <v>32935.646</v>
      </c>
      <c r="N188" s="75">
        <f>SUM(N189:N193)</f>
        <v>5341.010578410558</v>
      </c>
      <c r="O188" s="75">
        <f>SUM(O189:O192)</f>
        <v>34174.234</v>
      </c>
      <c r="P188" s="75">
        <f>SUM(P189:P192)</f>
        <v>34174.233</v>
      </c>
      <c r="Q188" s="75">
        <f>SUM(Q189:Q193)</f>
        <v>5482.068612425166</v>
      </c>
      <c r="R188" s="75">
        <f>SUM(R189:R192)</f>
        <v>38009.119999999995</v>
      </c>
    </row>
    <row r="189" spans="1:18" s="67" customFormat="1" ht="22.5">
      <c r="A189" s="85" t="s">
        <v>433</v>
      </c>
      <c r="B189" s="86" t="s">
        <v>434</v>
      </c>
      <c r="C189" s="87">
        <v>3035.296</v>
      </c>
      <c r="D189" s="87">
        <v>2732.07</v>
      </c>
      <c r="E189" s="87">
        <v>2732.07</v>
      </c>
      <c r="F189" s="87">
        <v>2732.07</v>
      </c>
      <c r="G189" s="87">
        <v>2732.07</v>
      </c>
      <c r="H189" s="87">
        <v>839.705</v>
      </c>
      <c r="I189" s="87">
        <f aca="true" t="shared" si="85" ref="I189:K197">D189*$J$4</f>
        <v>2858.44788190473</v>
      </c>
      <c r="J189" s="87">
        <f t="shared" si="85"/>
        <v>2858.44788190473</v>
      </c>
      <c r="K189" s="87">
        <f t="shared" si="85"/>
        <v>2858.44788190473</v>
      </c>
      <c r="L189" s="87">
        <f aca="true" t="shared" si="86" ref="L189:L197">G189*$L$4</f>
        <v>2858.44788190473</v>
      </c>
      <c r="M189" s="87">
        <v>11745.83</v>
      </c>
      <c r="N189" s="87">
        <f aca="true" t="shared" si="87" ref="N189:N197">L189*$N$4</f>
        <v>2921.1137477495386</v>
      </c>
      <c r="O189" s="87">
        <v>12600.735</v>
      </c>
      <c r="P189" s="87">
        <v>12600.735</v>
      </c>
      <c r="Q189" s="87">
        <f aca="true" t="shared" si="88" ref="Q189:Q197">N189*$Q$4</f>
        <v>2998.2614253924485</v>
      </c>
      <c r="R189" s="87">
        <v>11303.428</v>
      </c>
    </row>
    <row r="190" spans="1:18" s="67" customFormat="1" ht="22.5">
      <c r="A190" s="85" t="s">
        <v>435</v>
      </c>
      <c r="B190" s="86" t="s">
        <v>942</v>
      </c>
      <c r="C190" s="87"/>
      <c r="D190" s="87">
        <v>2260.89</v>
      </c>
      <c r="E190" s="87">
        <v>2260.89</v>
      </c>
      <c r="F190" s="87">
        <v>2260.89</v>
      </c>
      <c r="G190" s="87">
        <v>2260.89</v>
      </c>
      <c r="H190" s="87">
        <v>0</v>
      </c>
      <c r="I190" s="87">
        <f t="shared" si="85"/>
        <v>2365.472418978864</v>
      </c>
      <c r="J190" s="87">
        <f t="shared" si="85"/>
        <v>2365.472418978864</v>
      </c>
      <c r="K190" s="87">
        <f t="shared" si="85"/>
        <v>2365.472418978864</v>
      </c>
      <c r="L190" s="87">
        <f t="shared" si="86"/>
        <v>2365.472418978864</v>
      </c>
      <c r="M190" s="87">
        <v>21168.297</v>
      </c>
      <c r="N190" s="87">
        <f t="shared" si="87"/>
        <v>2417.330764273776</v>
      </c>
      <c r="O190" s="87">
        <v>21573.499</v>
      </c>
      <c r="P190" s="87">
        <v>21573.498</v>
      </c>
      <c r="Q190" s="87">
        <f t="shared" si="88"/>
        <v>2481.173349897892</v>
      </c>
      <c r="R190" s="87">
        <v>26507.692</v>
      </c>
    </row>
    <row r="191" spans="1:18" s="67" customFormat="1" ht="45">
      <c r="A191" s="85" t="s">
        <v>436</v>
      </c>
      <c r="B191" s="86" t="s">
        <v>437</v>
      </c>
      <c r="C191" s="87">
        <v>498.716</v>
      </c>
      <c r="D191" s="87">
        <v>0</v>
      </c>
      <c r="E191" s="87">
        <v>0</v>
      </c>
      <c r="F191" s="87">
        <v>0</v>
      </c>
      <c r="G191" s="87">
        <v>0</v>
      </c>
      <c r="H191" s="87">
        <v>130.135</v>
      </c>
      <c r="I191" s="87">
        <f t="shared" si="85"/>
        <v>0</v>
      </c>
      <c r="J191" s="87">
        <f t="shared" si="85"/>
        <v>0</v>
      </c>
      <c r="K191" s="87">
        <f t="shared" si="85"/>
        <v>0</v>
      </c>
      <c r="L191" s="87">
        <f t="shared" si="86"/>
        <v>0</v>
      </c>
      <c r="M191" s="87"/>
      <c r="N191" s="87">
        <f t="shared" si="87"/>
        <v>0</v>
      </c>
      <c r="O191" s="87">
        <v>0</v>
      </c>
      <c r="P191" s="87">
        <v>0</v>
      </c>
      <c r="Q191" s="87">
        <f t="shared" si="88"/>
        <v>0</v>
      </c>
      <c r="R191" s="87"/>
    </row>
    <row r="192" spans="1:18" s="67" customFormat="1" ht="33.75">
      <c r="A192" s="85" t="s">
        <v>438</v>
      </c>
      <c r="B192" s="86" t="s">
        <v>439</v>
      </c>
      <c r="C192" s="87">
        <v>10.715</v>
      </c>
      <c r="D192" s="87">
        <v>0</v>
      </c>
      <c r="E192" s="87">
        <v>0</v>
      </c>
      <c r="F192" s="87">
        <v>0</v>
      </c>
      <c r="G192" s="87">
        <v>0</v>
      </c>
      <c r="H192" s="87">
        <v>0</v>
      </c>
      <c r="I192" s="87">
        <f t="shared" si="85"/>
        <v>0</v>
      </c>
      <c r="J192" s="87">
        <f t="shared" si="85"/>
        <v>0</v>
      </c>
      <c r="K192" s="87">
        <f t="shared" si="85"/>
        <v>0</v>
      </c>
      <c r="L192" s="87">
        <f t="shared" si="86"/>
        <v>0</v>
      </c>
      <c r="M192" s="87">
        <v>21.519</v>
      </c>
      <c r="N192" s="87">
        <f t="shared" si="87"/>
        <v>0</v>
      </c>
      <c r="O192" s="87">
        <v>0</v>
      </c>
      <c r="P192" s="87">
        <v>0</v>
      </c>
      <c r="Q192" s="87">
        <f t="shared" si="88"/>
        <v>0</v>
      </c>
      <c r="R192" s="87">
        <v>198</v>
      </c>
    </row>
    <row r="193" spans="1:18" s="67" customFormat="1" ht="22.5">
      <c r="A193" s="85" t="s">
        <v>440</v>
      </c>
      <c r="B193" s="86"/>
      <c r="C193" s="87"/>
      <c r="D193" s="87">
        <v>2.4</v>
      </c>
      <c r="E193" s="87">
        <v>2.4</v>
      </c>
      <c r="F193" s="87">
        <v>2.4</v>
      </c>
      <c r="G193" s="87">
        <v>2.4</v>
      </c>
      <c r="H193" s="87">
        <v>0</v>
      </c>
      <c r="I193" s="87">
        <f t="shared" si="85"/>
        <v>2.511017256721589</v>
      </c>
      <c r="J193" s="87">
        <f t="shared" si="85"/>
        <v>2.511017256721589</v>
      </c>
      <c r="K193" s="87">
        <f t="shared" si="85"/>
        <v>2.511017256721589</v>
      </c>
      <c r="L193" s="87">
        <f t="shared" si="86"/>
        <v>2.511017256721589</v>
      </c>
      <c r="M193" s="87"/>
      <c r="N193" s="87">
        <f t="shared" si="87"/>
        <v>2.566066387244431</v>
      </c>
      <c r="O193" s="87">
        <v>0</v>
      </c>
      <c r="P193" s="87">
        <v>0</v>
      </c>
      <c r="Q193" s="87">
        <f t="shared" si="88"/>
        <v>2.633837134825197</v>
      </c>
      <c r="R193" s="87"/>
    </row>
    <row r="194" spans="1:18" s="67" customFormat="1" ht="11.25">
      <c r="A194" s="85" t="s">
        <v>441</v>
      </c>
      <c r="B194" s="86" t="s">
        <v>442</v>
      </c>
      <c r="C194" s="87">
        <v>105.978</v>
      </c>
      <c r="D194" s="87">
        <v>102.128</v>
      </c>
      <c r="E194" s="87">
        <v>102.128</v>
      </c>
      <c r="F194" s="87">
        <v>102.128</v>
      </c>
      <c r="G194" s="87">
        <v>102.128</v>
      </c>
      <c r="H194" s="87">
        <v>87.072</v>
      </c>
      <c r="I194" s="87">
        <f t="shared" si="85"/>
        <v>106.85215433102601</v>
      </c>
      <c r="J194" s="87">
        <f t="shared" si="85"/>
        <v>106.85215433102601</v>
      </c>
      <c r="K194" s="87">
        <f t="shared" si="85"/>
        <v>106.85215433102601</v>
      </c>
      <c r="L194" s="87">
        <f t="shared" si="86"/>
        <v>106.85215433102601</v>
      </c>
      <c r="M194" s="87">
        <v>180.16899999999998</v>
      </c>
      <c r="N194" s="87">
        <f t="shared" si="87"/>
        <v>109.19467833187468</v>
      </c>
      <c r="O194" s="87">
        <v>319.238</v>
      </c>
      <c r="P194" s="87">
        <v>313.662</v>
      </c>
      <c r="Q194" s="87">
        <f t="shared" si="88"/>
        <v>112.07854954392822</v>
      </c>
      <c r="R194" s="87">
        <v>614.757</v>
      </c>
    </row>
    <row r="195" spans="1:18" s="67" customFormat="1" ht="22.5">
      <c r="A195" s="85" t="s">
        <v>443</v>
      </c>
      <c r="B195" s="86" t="s">
        <v>444</v>
      </c>
      <c r="C195" s="87">
        <v>98.638</v>
      </c>
      <c r="D195" s="87">
        <v>0</v>
      </c>
      <c r="E195" s="87">
        <v>0</v>
      </c>
      <c r="F195" s="87">
        <v>0</v>
      </c>
      <c r="G195" s="87">
        <v>0</v>
      </c>
      <c r="H195" s="87">
        <v>0</v>
      </c>
      <c r="I195" s="87">
        <f t="shared" si="85"/>
        <v>0</v>
      </c>
      <c r="J195" s="87">
        <f t="shared" si="85"/>
        <v>0</v>
      </c>
      <c r="K195" s="87">
        <f t="shared" si="85"/>
        <v>0</v>
      </c>
      <c r="L195" s="87">
        <f t="shared" si="86"/>
        <v>0</v>
      </c>
      <c r="M195" s="87">
        <v>1.286</v>
      </c>
      <c r="N195" s="87">
        <f t="shared" si="87"/>
        <v>0</v>
      </c>
      <c r="O195" s="87">
        <v>0</v>
      </c>
      <c r="P195" s="87">
        <v>0</v>
      </c>
      <c r="Q195" s="87">
        <f t="shared" si="88"/>
        <v>0</v>
      </c>
      <c r="R195" s="87"/>
    </row>
    <row r="196" spans="1:18" s="67" customFormat="1" ht="11.25">
      <c r="A196" s="85" t="s">
        <v>445</v>
      </c>
      <c r="B196" s="86" t="s">
        <v>446</v>
      </c>
      <c r="C196" s="87">
        <v>0</v>
      </c>
      <c r="D196" s="87">
        <v>25.927</v>
      </c>
      <c r="E196" s="87">
        <v>25.927</v>
      </c>
      <c r="F196" s="87">
        <v>25.927</v>
      </c>
      <c r="G196" s="87">
        <v>25.927</v>
      </c>
      <c r="H196" s="87">
        <v>8.265</v>
      </c>
      <c r="I196" s="87">
        <f t="shared" si="85"/>
        <v>27.126310172925265</v>
      </c>
      <c r="J196" s="87">
        <f t="shared" si="85"/>
        <v>27.126310172925265</v>
      </c>
      <c r="K196" s="87">
        <f t="shared" si="85"/>
        <v>27.126310172925265</v>
      </c>
      <c r="L196" s="87">
        <f t="shared" si="86"/>
        <v>27.126310172925265</v>
      </c>
      <c r="M196" s="87">
        <v>9.121</v>
      </c>
      <c r="N196" s="87">
        <f t="shared" si="87"/>
        <v>27.721001342535985</v>
      </c>
      <c r="O196" s="87">
        <v>0</v>
      </c>
      <c r="P196" s="87">
        <v>0</v>
      </c>
      <c r="Q196" s="87">
        <f t="shared" si="88"/>
        <v>28.453123081088705</v>
      </c>
      <c r="R196" s="87">
        <v>20.73</v>
      </c>
    </row>
    <row r="197" spans="1:18" s="67" customFormat="1" ht="11.25">
      <c r="A197" s="85" t="s">
        <v>447</v>
      </c>
      <c r="B197" s="86" t="s">
        <v>448</v>
      </c>
      <c r="C197" s="87">
        <v>1457.645</v>
      </c>
      <c r="D197" s="87">
        <v>1689.66</v>
      </c>
      <c r="E197" s="87">
        <v>1689.66</v>
      </c>
      <c r="F197" s="87">
        <v>1689.66</v>
      </c>
      <c r="G197" s="87">
        <v>1689.66</v>
      </c>
      <c r="H197" s="87">
        <v>1737.142</v>
      </c>
      <c r="I197" s="87">
        <f t="shared" si="85"/>
        <v>1767.8189241634168</v>
      </c>
      <c r="J197" s="87">
        <f t="shared" si="85"/>
        <v>1767.8189241634168</v>
      </c>
      <c r="K197" s="87">
        <f t="shared" si="85"/>
        <v>1767.8189241634168</v>
      </c>
      <c r="L197" s="87">
        <f t="shared" si="86"/>
        <v>1767.8189241634168</v>
      </c>
      <c r="M197" s="87">
        <v>1847.729</v>
      </c>
      <c r="N197" s="87">
        <f t="shared" si="87"/>
        <v>1806.5748882797607</v>
      </c>
      <c r="O197" s="87">
        <v>1956.91</v>
      </c>
      <c r="P197" s="87">
        <v>1924.092</v>
      </c>
      <c r="Q197" s="87">
        <f t="shared" si="88"/>
        <v>1854.2871888453096</v>
      </c>
      <c r="R197" s="87">
        <v>2408.805</v>
      </c>
    </row>
    <row r="198" spans="1:18" s="67" customFormat="1" ht="11.25">
      <c r="A198" s="73" t="s">
        <v>449</v>
      </c>
      <c r="B198" s="84" t="s">
        <v>450</v>
      </c>
      <c r="C198" s="75">
        <f aca="true" t="shared" si="89" ref="C198:R198">SUM(C199:C200)</f>
        <v>1496.076</v>
      </c>
      <c r="D198" s="75">
        <f t="shared" si="89"/>
        <v>2611.5049112</v>
      </c>
      <c r="E198" s="75">
        <f t="shared" si="89"/>
        <v>2611.5049112</v>
      </c>
      <c r="F198" s="75">
        <f t="shared" si="89"/>
        <v>2072.4049112000002</v>
      </c>
      <c r="G198" s="75">
        <f t="shared" si="89"/>
        <v>2553.6649112</v>
      </c>
      <c r="H198" s="75">
        <f t="shared" si="89"/>
        <v>1374.445</v>
      </c>
      <c r="I198" s="75">
        <f t="shared" si="89"/>
        <v>2732.3057908484925</v>
      </c>
      <c r="J198" s="75">
        <f t="shared" si="89"/>
        <v>2732.3057908484925</v>
      </c>
      <c r="K198" s="75">
        <f t="shared" si="89"/>
        <v>2168.2685395574053</v>
      </c>
      <c r="L198" s="75">
        <f t="shared" si="89"/>
        <v>2671.790274961502</v>
      </c>
      <c r="M198" s="75">
        <f t="shared" si="89"/>
        <v>1113.2</v>
      </c>
      <c r="N198" s="75">
        <f t="shared" si="89"/>
        <v>2730.3640387149394</v>
      </c>
      <c r="O198" s="75">
        <f t="shared" si="89"/>
        <v>4860.9349999999995</v>
      </c>
      <c r="P198" s="75">
        <f t="shared" si="89"/>
        <v>4854.003</v>
      </c>
      <c r="Q198" s="75">
        <f t="shared" si="89"/>
        <v>2802.473947091104</v>
      </c>
      <c r="R198" s="75">
        <f t="shared" si="89"/>
        <v>3490.045</v>
      </c>
    </row>
    <row r="199" spans="1:21" s="67" customFormat="1" ht="22.5">
      <c r="A199" s="85" t="s">
        <v>451</v>
      </c>
      <c r="B199" s="86" t="s">
        <v>452</v>
      </c>
      <c r="C199" s="87">
        <v>155.356</v>
      </c>
      <c r="D199" s="87">
        <v>366.7919112</v>
      </c>
      <c r="E199" s="87">
        <v>366.7919112</v>
      </c>
      <c r="F199" s="87">
        <v>366.7919112</v>
      </c>
      <c r="G199" s="87">
        <v>366.7919112</v>
      </c>
      <c r="H199" s="87">
        <v>50.45</v>
      </c>
      <c r="I199" s="87">
        <f aca="true" t="shared" si="90" ref="I199:K200">D199*$J$4</f>
        <v>383.75867443712195</v>
      </c>
      <c r="J199" s="87">
        <f t="shared" si="90"/>
        <v>383.75867443712195</v>
      </c>
      <c r="K199" s="87">
        <f t="shared" si="90"/>
        <v>383.75867443712195</v>
      </c>
      <c r="L199" s="87">
        <f>G199*$L$4</f>
        <v>383.75867443712195</v>
      </c>
      <c r="M199" s="87">
        <v>80.863</v>
      </c>
      <c r="N199" s="87">
        <f>L199*$N$4</f>
        <v>392.1718310181101</v>
      </c>
      <c r="O199" s="87">
        <v>1976.58</v>
      </c>
      <c r="P199" s="87">
        <v>1976.58</v>
      </c>
      <c r="Q199" s="87">
        <f>N199*$Q$4</f>
        <v>402.5292318633609</v>
      </c>
      <c r="R199" s="87">
        <v>71.189</v>
      </c>
      <c r="S199" s="157"/>
      <c r="T199" s="157"/>
      <c r="U199" s="169"/>
    </row>
    <row r="200" spans="1:21" s="67" customFormat="1" ht="33.75">
      <c r="A200" s="85" t="s">
        <v>453</v>
      </c>
      <c r="B200" s="86" t="s">
        <v>454</v>
      </c>
      <c r="C200" s="87">
        <v>1340.72</v>
      </c>
      <c r="D200" s="87">
        <v>2244.713</v>
      </c>
      <c r="E200" s="87">
        <v>2244.713</v>
      </c>
      <c r="F200" s="91">
        <f>2244.713-539.1</f>
        <v>1705.6130000000003</v>
      </c>
      <c r="G200" s="167">
        <f>2244.713-57.84</f>
        <v>2186.873</v>
      </c>
      <c r="H200" s="87">
        <v>1323.995</v>
      </c>
      <c r="I200" s="87">
        <f t="shared" si="90"/>
        <v>2348.5471164113706</v>
      </c>
      <c r="J200" s="87">
        <f t="shared" si="90"/>
        <v>2348.5471164113706</v>
      </c>
      <c r="K200" s="87">
        <f t="shared" si="90"/>
        <v>1784.5098651202834</v>
      </c>
      <c r="L200" s="87">
        <f>G200*$L$4</f>
        <v>2288.03160052438</v>
      </c>
      <c r="M200" s="87">
        <v>1032.337</v>
      </c>
      <c r="N200" s="87">
        <f>L200*$N$4</f>
        <v>2338.1922076968294</v>
      </c>
      <c r="O200" s="87">
        <v>2884.355</v>
      </c>
      <c r="P200" s="87">
        <v>2877.423</v>
      </c>
      <c r="Q200" s="87">
        <f>N200*$Q$4</f>
        <v>2399.944715227743</v>
      </c>
      <c r="R200" s="87">
        <v>3418.856</v>
      </c>
      <c r="T200" s="157"/>
      <c r="U200" s="169"/>
    </row>
    <row r="201" spans="1:18" s="67" customFormat="1" ht="11.25">
      <c r="A201" s="73" t="s">
        <v>874</v>
      </c>
      <c r="B201" s="84" t="s">
        <v>875</v>
      </c>
      <c r="C201" s="75">
        <f>SUM(C202:C204)</f>
        <v>0</v>
      </c>
      <c r="D201" s="75">
        <f aca="true" t="shared" si="91" ref="D201:R201">SUM(D202:D204)</f>
        <v>0</v>
      </c>
      <c r="E201" s="75">
        <f t="shared" si="91"/>
        <v>0</v>
      </c>
      <c r="F201" s="75">
        <f t="shared" si="91"/>
        <v>0</v>
      </c>
      <c r="G201" s="75">
        <f>SUM(G203:G204)</f>
        <v>0</v>
      </c>
      <c r="H201" s="75">
        <f t="shared" si="91"/>
        <v>0</v>
      </c>
      <c r="I201" s="75">
        <f t="shared" si="91"/>
        <v>0</v>
      </c>
      <c r="J201" s="75">
        <f t="shared" si="91"/>
        <v>0</v>
      </c>
      <c r="K201" s="75">
        <f t="shared" si="91"/>
        <v>0</v>
      </c>
      <c r="L201" s="75">
        <f>SUM(L203:L204)</f>
        <v>0</v>
      </c>
      <c r="M201" s="75">
        <f t="shared" si="91"/>
        <v>80.826</v>
      </c>
      <c r="N201" s="75">
        <f t="shared" si="91"/>
        <v>0</v>
      </c>
      <c r="O201" s="75">
        <f t="shared" si="91"/>
        <v>144.364</v>
      </c>
      <c r="P201" s="75">
        <f t="shared" si="91"/>
        <v>141.20499999999998</v>
      </c>
      <c r="Q201" s="75">
        <f t="shared" si="91"/>
        <v>0</v>
      </c>
      <c r="R201" s="75">
        <f t="shared" si="91"/>
        <v>100.226</v>
      </c>
    </row>
    <row r="202" spans="1:18" s="67" customFormat="1" ht="22.5">
      <c r="A202" s="90" t="s">
        <v>943</v>
      </c>
      <c r="B202" s="86" t="s">
        <v>944</v>
      </c>
      <c r="C202" s="87"/>
      <c r="D202" s="87"/>
      <c r="E202" s="87"/>
      <c r="F202" s="91"/>
      <c r="G202" s="87"/>
      <c r="H202" s="87"/>
      <c r="I202" s="87"/>
      <c r="J202" s="87"/>
      <c r="K202" s="87"/>
      <c r="L202" s="87"/>
      <c r="M202" s="87"/>
      <c r="N202" s="87"/>
      <c r="O202" s="87">
        <v>49.351</v>
      </c>
      <c r="P202" s="87">
        <v>48.531</v>
      </c>
      <c r="Q202" s="87"/>
      <c r="R202" s="87"/>
    </row>
    <row r="203" spans="1:18" s="67" customFormat="1" ht="11.25">
      <c r="A203" s="85" t="s">
        <v>876</v>
      </c>
      <c r="B203" s="86" t="s">
        <v>877</v>
      </c>
      <c r="C203" s="87"/>
      <c r="D203" s="87"/>
      <c r="E203" s="87"/>
      <c r="F203" s="91"/>
      <c r="G203" s="87"/>
      <c r="H203" s="87"/>
      <c r="I203" s="87"/>
      <c r="J203" s="87"/>
      <c r="K203" s="87"/>
      <c r="L203" s="87"/>
      <c r="M203" s="87">
        <v>20</v>
      </c>
      <c r="N203" s="87"/>
      <c r="O203" s="87">
        <v>29.9</v>
      </c>
      <c r="P203" s="87">
        <v>29.9</v>
      </c>
      <c r="Q203" s="87"/>
      <c r="R203" s="87"/>
    </row>
    <row r="204" spans="1:18" s="67" customFormat="1" ht="22.5">
      <c r="A204" s="85" t="s">
        <v>878</v>
      </c>
      <c r="B204" s="86" t="s">
        <v>879</v>
      </c>
      <c r="C204" s="87"/>
      <c r="D204" s="87"/>
      <c r="E204" s="87"/>
      <c r="F204" s="91"/>
      <c r="G204" s="87"/>
      <c r="H204" s="87"/>
      <c r="I204" s="87"/>
      <c r="J204" s="87"/>
      <c r="K204" s="87"/>
      <c r="L204" s="87"/>
      <c r="M204" s="87">
        <v>60.826</v>
      </c>
      <c r="N204" s="87"/>
      <c r="O204" s="87">
        <v>65.113</v>
      </c>
      <c r="P204" s="87">
        <v>62.774</v>
      </c>
      <c r="Q204" s="87"/>
      <c r="R204" s="87">
        <v>100.226</v>
      </c>
    </row>
    <row r="205" spans="1:18" s="67" customFormat="1" ht="45">
      <c r="A205" s="85" t="s">
        <v>455</v>
      </c>
      <c r="B205" s="86" t="s">
        <v>456</v>
      </c>
      <c r="C205" s="87">
        <v>53.566</v>
      </c>
      <c r="D205" s="87">
        <v>33.899</v>
      </c>
      <c r="E205" s="87">
        <v>33.899</v>
      </c>
      <c r="F205" s="87">
        <v>33.899</v>
      </c>
      <c r="G205" s="87">
        <v>33.899</v>
      </c>
      <c r="H205" s="87">
        <v>32.023</v>
      </c>
      <c r="I205" s="87">
        <f>D205*$J$4</f>
        <v>35.467072494002146</v>
      </c>
      <c r="J205" s="87">
        <f>E205*$J$4</f>
        <v>35.467072494002146</v>
      </c>
      <c r="K205" s="87">
        <f>F205*$J$4</f>
        <v>35.467072494002146</v>
      </c>
      <c r="L205" s="87">
        <f>G205*$L$4</f>
        <v>35.467072494002146</v>
      </c>
      <c r="M205" s="87">
        <v>152.265</v>
      </c>
      <c r="N205" s="87">
        <f>L205*$N$4</f>
        <v>36.24461852549957</v>
      </c>
      <c r="O205" s="87">
        <v>61.18</v>
      </c>
      <c r="P205" s="87">
        <v>60.297</v>
      </c>
      <c r="Q205" s="87">
        <f>N205*$Q$4</f>
        <v>37.201852097266396</v>
      </c>
      <c r="R205" s="87">
        <v>46.149</v>
      </c>
    </row>
    <row r="206" spans="1:18" s="67" customFormat="1" ht="22.5">
      <c r="A206" s="85" t="s">
        <v>880</v>
      </c>
      <c r="B206" s="86" t="s">
        <v>881</v>
      </c>
      <c r="C206" s="87"/>
      <c r="D206" s="87"/>
      <c r="E206" s="87"/>
      <c r="F206" s="87"/>
      <c r="G206" s="87"/>
      <c r="H206" s="87"/>
      <c r="I206" s="87"/>
      <c r="J206" s="87"/>
      <c r="K206" s="87"/>
      <c r="L206" s="87"/>
      <c r="M206" s="87"/>
      <c r="N206" s="87"/>
      <c r="O206" s="87">
        <v>70.845</v>
      </c>
      <c r="P206" s="87">
        <v>0</v>
      </c>
      <c r="Q206" s="87"/>
      <c r="R206" s="87"/>
    </row>
    <row r="207" spans="1:18" s="67" customFormat="1" ht="11.25">
      <c r="A207" s="85" t="s">
        <v>882</v>
      </c>
      <c r="B207" s="86" t="s">
        <v>883</v>
      </c>
      <c r="C207" s="87"/>
      <c r="D207" s="87"/>
      <c r="E207" s="87"/>
      <c r="F207" s="87"/>
      <c r="G207" s="87"/>
      <c r="H207" s="87"/>
      <c r="I207" s="87"/>
      <c r="J207" s="87"/>
      <c r="K207" s="87"/>
      <c r="L207" s="87"/>
      <c r="M207" s="87"/>
      <c r="N207" s="87"/>
      <c r="O207" s="87">
        <v>0</v>
      </c>
      <c r="P207" s="87">
        <v>0</v>
      </c>
      <c r="Q207" s="87"/>
      <c r="R207" s="87"/>
    </row>
    <row r="208" spans="1:18" s="67" customFormat="1" ht="22.5">
      <c r="A208" s="85" t="s">
        <v>884</v>
      </c>
      <c r="B208" s="86" t="s">
        <v>945</v>
      </c>
      <c r="C208" s="87"/>
      <c r="D208" s="87"/>
      <c r="E208" s="87"/>
      <c r="F208" s="87"/>
      <c r="G208" s="87"/>
      <c r="H208" s="87"/>
      <c r="I208" s="87"/>
      <c r="J208" s="87"/>
      <c r="K208" s="87"/>
      <c r="L208" s="87"/>
      <c r="M208" s="87">
        <v>37.17</v>
      </c>
      <c r="N208" s="87"/>
      <c r="O208" s="87">
        <v>0</v>
      </c>
      <c r="P208" s="87">
        <v>0</v>
      </c>
      <c r="Q208" s="87"/>
      <c r="R208" s="87">
        <v>37.52</v>
      </c>
    </row>
    <row r="209" spans="1:18" s="67" customFormat="1" ht="11.25">
      <c r="A209" s="85" t="s">
        <v>885</v>
      </c>
      <c r="B209" s="86" t="s">
        <v>946</v>
      </c>
      <c r="C209" s="87"/>
      <c r="D209" s="87"/>
      <c r="E209" s="87"/>
      <c r="F209" s="87"/>
      <c r="G209" s="87"/>
      <c r="H209" s="87"/>
      <c r="I209" s="87"/>
      <c r="J209" s="87"/>
      <c r="K209" s="87"/>
      <c r="L209" s="87"/>
      <c r="M209" s="87"/>
      <c r="N209" s="87"/>
      <c r="O209" s="87"/>
      <c r="P209" s="87"/>
      <c r="Q209" s="87"/>
      <c r="R209" s="87"/>
    </row>
    <row r="210" spans="1:18" s="67" customFormat="1" ht="11.25">
      <c r="A210" s="93" t="s">
        <v>457</v>
      </c>
      <c r="B210" s="94"/>
      <c r="C210" s="95">
        <f aca="true" t="shared" si="92" ref="C210:H210">SUM(C211,C216)</f>
        <v>12619.10232</v>
      </c>
      <c r="D210" s="95">
        <f t="shared" si="92"/>
        <v>15736.198999999999</v>
      </c>
      <c r="E210" s="95">
        <f t="shared" si="92"/>
        <v>15736.198999999999</v>
      </c>
      <c r="F210" s="95">
        <f t="shared" si="92"/>
        <v>15736.198999999999</v>
      </c>
      <c r="G210" s="95">
        <f t="shared" si="92"/>
        <v>15736.198999999999</v>
      </c>
      <c r="H210" s="95">
        <f t="shared" si="92"/>
        <v>15616.940309999998</v>
      </c>
      <c r="I210" s="95">
        <f aca="true" t="shared" si="93" ref="I210:N210">SUM(I211,I216)</f>
        <v>16464.111351752086</v>
      </c>
      <c r="J210" s="95">
        <f t="shared" si="93"/>
        <v>16464.111351752086</v>
      </c>
      <c r="K210" s="95">
        <f t="shared" si="93"/>
        <v>16464.111351752086</v>
      </c>
      <c r="L210" s="95">
        <f t="shared" si="93"/>
        <v>16464.111351752086</v>
      </c>
      <c r="M210" s="95">
        <f>SUM(M211,M216)</f>
        <v>17831.77166</v>
      </c>
      <c r="N210" s="95">
        <f t="shared" si="93"/>
        <v>16825.054715370596</v>
      </c>
      <c r="O210" s="95">
        <f>SUM(O211,O216)</f>
        <v>21346.326</v>
      </c>
      <c r="P210" s="95">
        <f>SUM(P211,P216)</f>
        <v>20832.069550000004</v>
      </c>
      <c r="Q210" s="95">
        <f>SUM(Q211,Q216)</f>
        <v>17269.410536332973</v>
      </c>
      <c r="R210" s="95">
        <f>SUM(R211,R216)</f>
        <v>28595.348950000003</v>
      </c>
    </row>
    <row r="211" spans="1:18" s="67" customFormat="1" ht="11.25">
      <c r="A211" s="73" t="s">
        <v>458</v>
      </c>
      <c r="B211" s="84" t="s">
        <v>459</v>
      </c>
      <c r="C211" s="75">
        <f aca="true" t="shared" si="94" ref="C211:J211">SUM(C212:C213)</f>
        <v>12165.99453</v>
      </c>
      <c r="D211" s="75">
        <f t="shared" si="94"/>
        <v>15293.649</v>
      </c>
      <c r="E211" s="75">
        <f t="shared" si="94"/>
        <v>15293.649</v>
      </c>
      <c r="F211" s="75">
        <f>SUM(F212:F213)</f>
        <v>15293.649</v>
      </c>
      <c r="G211" s="75">
        <f>SUM(G212:G213)</f>
        <v>15293.649</v>
      </c>
      <c r="H211" s="75">
        <f>SUM(H212:H213)</f>
        <v>15085.624629999998</v>
      </c>
      <c r="I211" s="75">
        <f>SUM(I212:I213)</f>
        <v>16001.09023218453</v>
      </c>
      <c r="J211" s="75">
        <f t="shared" si="94"/>
        <v>16001.09023218453</v>
      </c>
      <c r="K211" s="75">
        <f aca="true" t="shared" si="95" ref="K211:R211">SUM(K212:K213)</f>
        <v>16001.09023218453</v>
      </c>
      <c r="L211" s="75">
        <f t="shared" si="95"/>
        <v>16001.09023218453</v>
      </c>
      <c r="M211" s="75">
        <f t="shared" si="95"/>
        <v>17258.66074</v>
      </c>
      <c r="N211" s="75">
        <f t="shared" si="95"/>
        <v>16351.882765506001</v>
      </c>
      <c r="O211" s="75">
        <f t="shared" si="95"/>
        <v>20724.260000000002</v>
      </c>
      <c r="P211" s="75">
        <f t="shared" si="95"/>
        <v>20217.495840000003</v>
      </c>
      <c r="Q211" s="75">
        <f t="shared" si="95"/>
        <v>16783.7419429926</v>
      </c>
      <c r="R211" s="75">
        <f t="shared" si="95"/>
        <v>27790.692000000003</v>
      </c>
    </row>
    <row r="212" spans="1:18" s="67" customFormat="1" ht="22.5">
      <c r="A212" s="85" t="s">
        <v>460</v>
      </c>
      <c r="B212" s="86" t="s">
        <v>461</v>
      </c>
      <c r="C212" s="87">
        <v>10678.93765</v>
      </c>
      <c r="D212" s="87">
        <v>13542.96</v>
      </c>
      <c r="E212" s="87">
        <v>13542.96</v>
      </c>
      <c r="F212" s="87">
        <v>13542.96</v>
      </c>
      <c r="G212" s="87">
        <v>13542.96</v>
      </c>
      <c r="H212" s="87">
        <v>11993.10127</v>
      </c>
      <c r="I212" s="87">
        <f>D212*$J$4</f>
        <v>14169.419277954254</v>
      </c>
      <c r="J212" s="87">
        <f>E212*$J$4</f>
        <v>14169.419277954254</v>
      </c>
      <c r="K212" s="87">
        <f>F212*$J$4</f>
        <v>14169.419277954254</v>
      </c>
      <c r="L212" s="87">
        <f>G212*$L$4</f>
        <v>14169.419277954254</v>
      </c>
      <c r="M212" s="87">
        <v>13934.99455</v>
      </c>
      <c r="N212" s="87">
        <f>L212*$N$4</f>
        <v>14480.056016581599</v>
      </c>
      <c r="O212" s="87">
        <v>18447.24</v>
      </c>
      <c r="P212" s="87">
        <v>17971.53465</v>
      </c>
      <c r="Q212" s="87">
        <f>N212*$Q$4</f>
        <v>14862.479568105105</v>
      </c>
      <c r="R212" s="87">
        <v>24227.23928</v>
      </c>
    </row>
    <row r="213" spans="1:18" s="67" customFormat="1" ht="22.5">
      <c r="A213" s="73" t="s">
        <v>462</v>
      </c>
      <c r="B213" s="84" t="s">
        <v>463</v>
      </c>
      <c r="C213" s="75">
        <f aca="true" t="shared" si="96" ref="C213:N213">SUM(C214:C215)</f>
        <v>1487.0568799999999</v>
      </c>
      <c r="D213" s="75">
        <f t="shared" si="96"/>
        <v>1750.689</v>
      </c>
      <c r="E213" s="75">
        <f t="shared" si="96"/>
        <v>1750.689</v>
      </c>
      <c r="F213" s="75">
        <f t="shared" si="96"/>
        <v>1750.689</v>
      </c>
      <c r="G213" s="75">
        <f t="shared" si="96"/>
        <v>1750.689</v>
      </c>
      <c r="H213" s="75">
        <f>SUM(H214:H215)</f>
        <v>3092.52336</v>
      </c>
      <c r="I213" s="75">
        <f>SUM(I214:I215)</f>
        <v>1831.6709542302758</v>
      </c>
      <c r="J213" s="75">
        <f t="shared" si="96"/>
        <v>1831.6709542302758</v>
      </c>
      <c r="K213" s="75">
        <f t="shared" si="96"/>
        <v>1831.6709542302758</v>
      </c>
      <c r="L213" s="75">
        <f t="shared" si="96"/>
        <v>1831.6709542302758</v>
      </c>
      <c r="M213" s="75">
        <f>SUM(M214:M215)</f>
        <v>3323.66619</v>
      </c>
      <c r="N213" s="75">
        <f t="shared" si="96"/>
        <v>1871.8267489244024</v>
      </c>
      <c r="O213" s="75">
        <f>SUM(O214:O215)</f>
        <v>2277.02</v>
      </c>
      <c r="P213" s="75">
        <f>SUM(P214:P215)</f>
        <v>2245.96119</v>
      </c>
      <c r="Q213" s="75">
        <f>SUM(Q214:Q215)</f>
        <v>1921.2623748874958</v>
      </c>
      <c r="R213" s="75">
        <f>SUM(R214:R215)</f>
        <v>3563.4527199999998</v>
      </c>
    </row>
    <row r="214" spans="1:18" s="67" customFormat="1" ht="22.5">
      <c r="A214" s="85" t="s">
        <v>464</v>
      </c>
      <c r="B214" s="86" t="s">
        <v>465</v>
      </c>
      <c r="C214" s="87">
        <v>1054.73309</v>
      </c>
      <c r="D214" s="87">
        <v>1415.276</v>
      </c>
      <c r="E214" s="87">
        <v>1415.276</v>
      </c>
      <c r="F214" s="87">
        <v>1415.276</v>
      </c>
      <c r="G214" s="87">
        <v>1415.276</v>
      </c>
      <c r="H214" s="87">
        <v>1661.967</v>
      </c>
      <c r="I214" s="87">
        <f aca="true" t="shared" si="97" ref="I214:K215">D214*$J$4</f>
        <v>1480.7426912599599</v>
      </c>
      <c r="J214" s="87">
        <f t="shared" si="97"/>
        <v>1480.7426912599599</v>
      </c>
      <c r="K214" s="87">
        <f t="shared" si="97"/>
        <v>1480.7426912599599</v>
      </c>
      <c r="L214" s="87">
        <f>G214*$L$4</f>
        <v>1480.7426912599599</v>
      </c>
      <c r="M214" s="87">
        <v>1743.0881</v>
      </c>
      <c r="N214" s="87">
        <f>L214*$N$4</f>
        <v>1513.205071780729</v>
      </c>
      <c r="O214" s="87">
        <v>794.482</v>
      </c>
      <c r="P214" s="87">
        <v>784.82476</v>
      </c>
      <c r="Q214" s="87">
        <f>N214*$Q$4</f>
        <v>1553.1693686778608</v>
      </c>
      <c r="R214" s="87">
        <v>2111.91614</v>
      </c>
    </row>
    <row r="215" spans="1:18" s="67" customFormat="1" ht="22.5">
      <c r="A215" s="85" t="s">
        <v>466</v>
      </c>
      <c r="B215" s="86" t="s">
        <v>467</v>
      </c>
      <c r="C215" s="87">
        <v>432.32379</v>
      </c>
      <c r="D215" s="87">
        <v>335.413</v>
      </c>
      <c r="E215" s="87">
        <v>335.413</v>
      </c>
      <c r="F215" s="87">
        <v>335.413</v>
      </c>
      <c r="G215" s="87">
        <v>335.413</v>
      </c>
      <c r="H215" s="87">
        <v>1430.55636</v>
      </c>
      <c r="I215" s="87">
        <f t="shared" si="97"/>
        <v>350.928262970316</v>
      </c>
      <c r="J215" s="87">
        <f t="shared" si="97"/>
        <v>350.928262970316</v>
      </c>
      <c r="K215" s="87">
        <f t="shared" si="97"/>
        <v>350.928262970316</v>
      </c>
      <c r="L215" s="87">
        <f>G215*$L$4</f>
        <v>350.928262970316</v>
      </c>
      <c r="M215" s="87">
        <v>1580.57809</v>
      </c>
      <c r="N215" s="87">
        <f>L215*$N$4</f>
        <v>358.6216771436735</v>
      </c>
      <c r="O215" s="87">
        <v>1482.538</v>
      </c>
      <c r="P215" s="87">
        <v>1461.13643</v>
      </c>
      <c r="Q215" s="87">
        <f>N215*$Q$4</f>
        <v>368.09300620963495</v>
      </c>
      <c r="R215" s="87">
        <v>1451.53658</v>
      </c>
    </row>
    <row r="216" spans="1:18" s="67" customFormat="1" ht="22.5">
      <c r="A216" s="73" t="s">
        <v>468</v>
      </c>
      <c r="B216" s="84" t="s">
        <v>469</v>
      </c>
      <c r="C216" s="75">
        <f aca="true" t="shared" si="98" ref="C216:R216">SUM(C217:C222)</f>
        <v>453.10779</v>
      </c>
      <c r="D216" s="75">
        <f t="shared" si="98"/>
        <v>442.55</v>
      </c>
      <c r="E216" s="75">
        <f>SUM(E217:E222)</f>
        <v>442.55</v>
      </c>
      <c r="F216" s="75">
        <f>SUM(F217:F222)</f>
        <v>442.55</v>
      </c>
      <c r="G216" s="75">
        <f>SUM(G217:G222)</f>
        <v>442.55</v>
      </c>
      <c r="H216" s="75">
        <f t="shared" si="98"/>
        <v>531.31568</v>
      </c>
      <c r="I216" s="75">
        <f t="shared" si="98"/>
        <v>463.021119567558</v>
      </c>
      <c r="J216" s="75">
        <f t="shared" si="98"/>
        <v>463.021119567558</v>
      </c>
      <c r="K216" s="75">
        <f t="shared" si="98"/>
        <v>463.021119567558</v>
      </c>
      <c r="L216" s="75">
        <f t="shared" si="98"/>
        <v>463.021119567558</v>
      </c>
      <c r="M216" s="75">
        <f t="shared" si="98"/>
        <v>573.1109200000001</v>
      </c>
      <c r="N216" s="75">
        <f t="shared" si="98"/>
        <v>473.1719498645929</v>
      </c>
      <c r="O216" s="75">
        <f t="shared" si="98"/>
        <v>622.066</v>
      </c>
      <c r="P216" s="75">
        <f t="shared" si="98"/>
        <v>614.5737100000001</v>
      </c>
      <c r="Q216" s="75">
        <f t="shared" si="98"/>
        <v>485.6685933403713</v>
      </c>
      <c r="R216" s="75">
        <f t="shared" si="98"/>
        <v>804.65695</v>
      </c>
    </row>
    <row r="217" spans="1:18" s="67" customFormat="1" ht="22.5">
      <c r="A217" s="85" t="s">
        <v>470</v>
      </c>
      <c r="B217" s="86" t="s">
        <v>471</v>
      </c>
      <c r="C217" s="87">
        <v>54.58495</v>
      </c>
      <c r="D217" s="87">
        <v>21.77</v>
      </c>
      <c r="E217" s="87">
        <v>21.77</v>
      </c>
      <c r="F217" s="87">
        <v>21.77</v>
      </c>
      <c r="G217" s="87">
        <v>21.77</v>
      </c>
      <c r="H217" s="87">
        <v>86.42758</v>
      </c>
      <c r="I217" s="87">
        <f aca="true" t="shared" si="99" ref="I217:K222">D217*$J$4</f>
        <v>22.777019032845413</v>
      </c>
      <c r="J217" s="87">
        <f t="shared" si="99"/>
        <v>22.777019032845413</v>
      </c>
      <c r="K217" s="87">
        <f t="shared" si="99"/>
        <v>22.777019032845413</v>
      </c>
      <c r="L217" s="87">
        <f aca="true" t="shared" si="100" ref="L217:L222">G217*$L$4</f>
        <v>22.777019032845413</v>
      </c>
      <c r="M217" s="87">
        <v>90.67208</v>
      </c>
      <c r="N217" s="87">
        <f aca="true" t="shared" si="101" ref="N217:N222">L217*$N$4</f>
        <v>23.276360520963024</v>
      </c>
      <c r="O217" s="87">
        <v>154</v>
      </c>
      <c r="P217" s="87">
        <v>152.18827</v>
      </c>
      <c r="Q217" s="87">
        <f aca="true" t="shared" si="102" ref="Q217:Q222">N217*$Q$4</f>
        <v>23.89109767714356</v>
      </c>
      <c r="R217" s="87">
        <v>291.64625</v>
      </c>
    </row>
    <row r="218" spans="1:18" s="67" customFormat="1" ht="45">
      <c r="A218" s="85" t="s">
        <v>472</v>
      </c>
      <c r="B218" s="86" t="s">
        <v>473</v>
      </c>
      <c r="C218" s="87">
        <v>155.97732</v>
      </c>
      <c r="D218" s="87">
        <v>169.87</v>
      </c>
      <c r="E218" s="87">
        <v>169.87</v>
      </c>
      <c r="F218" s="87">
        <v>169.87</v>
      </c>
      <c r="G218" s="87">
        <v>169.87</v>
      </c>
      <c r="H218" s="87">
        <v>173.09457</v>
      </c>
      <c r="I218" s="87">
        <f t="shared" si="99"/>
        <v>177.72770891637347</v>
      </c>
      <c r="J218" s="87">
        <f t="shared" si="99"/>
        <v>177.72770891637347</v>
      </c>
      <c r="K218" s="87">
        <f t="shared" si="99"/>
        <v>177.72770891637347</v>
      </c>
      <c r="L218" s="87">
        <f t="shared" si="100"/>
        <v>177.72770891637347</v>
      </c>
      <c r="M218" s="87">
        <v>144.47991</v>
      </c>
      <c r="N218" s="87">
        <f t="shared" si="101"/>
        <v>181.6240405005048</v>
      </c>
      <c r="O218" s="87">
        <v>104.022</v>
      </c>
      <c r="P218" s="87">
        <v>102.81166</v>
      </c>
      <c r="Q218" s="87">
        <f t="shared" si="102"/>
        <v>186.42079753864846</v>
      </c>
      <c r="R218" s="87">
        <v>111.97305</v>
      </c>
    </row>
    <row r="219" spans="1:18" s="67" customFormat="1" ht="22.5">
      <c r="A219" s="85" t="s">
        <v>474</v>
      </c>
      <c r="B219" s="86" t="s">
        <v>475</v>
      </c>
      <c r="C219" s="87">
        <v>19.68655</v>
      </c>
      <c r="D219" s="87">
        <v>26</v>
      </c>
      <c r="E219" s="87">
        <v>26</v>
      </c>
      <c r="F219" s="87">
        <v>26</v>
      </c>
      <c r="G219" s="87">
        <v>26</v>
      </c>
      <c r="H219" s="87">
        <v>21.66907</v>
      </c>
      <c r="I219" s="87">
        <f t="shared" si="99"/>
        <v>27.202686947817213</v>
      </c>
      <c r="J219" s="87">
        <f t="shared" si="99"/>
        <v>27.202686947817213</v>
      </c>
      <c r="K219" s="87">
        <f t="shared" si="99"/>
        <v>27.202686947817213</v>
      </c>
      <c r="L219" s="87">
        <f t="shared" si="100"/>
        <v>27.202686947817213</v>
      </c>
      <c r="M219" s="87">
        <v>21.69662</v>
      </c>
      <c r="N219" s="87">
        <f t="shared" si="101"/>
        <v>27.799052528481333</v>
      </c>
      <c r="O219" s="87">
        <v>30</v>
      </c>
      <c r="P219" s="87">
        <v>29.61344</v>
      </c>
      <c r="Q219" s="87">
        <f t="shared" si="102"/>
        <v>28.53323562727297</v>
      </c>
      <c r="R219" s="87">
        <v>23.54396</v>
      </c>
    </row>
    <row r="220" spans="1:18" s="67" customFormat="1" ht="22.5">
      <c r="A220" s="85" t="s">
        <v>476</v>
      </c>
      <c r="B220" s="86" t="s">
        <v>477</v>
      </c>
      <c r="C220" s="87">
        <v>4.92951</v>
      </c>
      <c r="D220" s="87">
        <v>5.4</v>
      </c>
      <c r="E220" s="87">
        <v>5.4</v>
      </c>
      <c r="F220" s="87">
        <v>5.4</v>
      </c>
      <c r="G220" s="87">
        <v>5.4</v>
      </c>
      <c r="H220" s="87">
        <v>4.92955</v>
      </c>
      <c r="I220" s="87">
        <f t="shared" si="99"/>
        <v>5.649788827623576</v>
      </c>
      <c r="J220" s="87">
        <f t="shared" si="99"/>
        <v>5.649788827623576</v>
      </c>
      <c r="K220" s="87">
        <f t="shared" si="99"/>
        <v>5.649788827623576</v>
      </c>
      <c r="L220" s="87">
        <f t="shared" si="100"/>
        <v>5.649788827623576</v>
      </c>
      <c r="M220" s="87">
        <v>6.89438</v>
      </c>
      <c r="N220" s="87">
        <f t="shared" si="101"/>
        <v>5.77364937129997</v>
      </c>
      <c r="O220" s="87"/>
      <c r="P220" s="87"/>
      <c r="Q220" s="87">
        <f t="shared" si="102"/>
        <v>5.926133553356694</v>
      </c>
      <c r="R220" s="87"/>
    </row>
    <row r="221" spans="1:18" s="67" customFormat="1" ht="22.5">
      <c r="A221" s="85" t="s">
        <v>478</v>
      </c>
      <c r="B221" s="86" t="s">
        <v>479</v>
      </c>
      <c r="C221" s="87">
        <v>61.95214</v>
      </c>
      <c r="D221" s="87">
        <v>49.65</v>
      </c>
      <c r="E221" s="87">
        <v>49.65</v>
      </c>
      <c r="F221" s="87">
        <v>49.65</v>
      </c>
      <c r="G221" s="87">
        <v>49.65</v>
      </c>
      <c r="H221" s="87">
        <v>72.10034</v>
      </c>
      <c r="I221" s="87">
        <f t="shared" si="99"/>
        <v>51.94666949842787</v>
      </c>
      <c r="J221" s="87">
        <f t="shared" si="99"/>
        <v>51.94666949842787</v>
      </c>
      <c r="K221" s="87">
        <f t="shared" si="99"/>
        <v>51.94666949842787</v>
      </c>
      <c r="L221" s="87">
        <f t="shared" si="100"/>
        <v>51.94666949842787</v>
      </c>
      <c r="M221" s="87">
        <v>115.43173</v>
      </c>
      <c r="N221" s="87">
        <f t="shared" si="101"/>
        <v>53.08549838611916</v>
      </c>
      <c r="O221" s="87">
        <v>126</v>
      </c>
      <c r="P221" s="87">
        <v>124.33701</v>
      </c>
      <c r="Q221" s="87">
        <f t="shared" si="102"/>
        <v>54.48750572669626</v>
      </c>
      <c r="R221" s="87">
        <v>153.54759</v>
      </c>
    </row>
    <row r="222" spans="1:18" s="67" customFormat="1" ht="33.75">
      <c r="A222" s="85" t="s">
        <v>480</v>
      </c>
      <c r="B222" s="86" t="s">
        <v>481</v>
      </c>
      <c r="C222" s="87">
        <v>155.97732</v>
      </c>
      <c r="D222" s="87">
        <v>169.86</v>
      </c>
      <c r="E222" s="87">
        <v>169.86</v>
      </c>
      <c r="F222" s="87">
        <v>169.86</v>
      </c>
      <c r="G222" s="87">
        <v>169.86</v>
      </c>
      <c r="H222" s="87">
        <v>173.09457</v>
      </c>
      <c r="I222" s="87">
        <f t="shared" si="99"/>
        <v>177.71724634447048</v>
      </c>
      <c r="J222" s="87">
        <f t="shared" si="99"/>
        <v>177.71724634447048</v>
      </c>
      <c r="K222" s="87">
        <f t="shared" si="99"/>
        <v>177.71724634447048</v>
      </c>
      <c r="L222" s="87">
        <f t="shared" si="100"/>
        <v>177.71724634447048</v>
      </c>
      <c r="M222" s="87">
        <v>193.9362</v>
      </c>
      <c r="N222" s="87">
        <f t="shared" si="101"/>
        <v>181.6133485572246</v>
      </c>
      <c r="O222" s="87">
        <v>208.044</v>
      </c>
      <c r="P222" s="87">
        <v>205.62333</v>
      </c>
      <c r="Q222" s="87">
        <f t="shared" si="102"/>
        <v>186.40982321725335</v>
      </c>
      <c r="R222" s="87">
        <v>223.9461</v>
      </c>
    </row>
    <row r="223" spans="1:18" s="67" customFormat="1" ht="11.25">
      <c r="A223" s="96" t="s">
        <v>482</v>
      </c>
      <c r="B223" s="170"/>
      <c r="C223" s="97">
        <f>SUM(C224,C230)</f>
        <v>2387.20616</v>
      </c>
      <c r="D223" s="97"/>
      <c r="E223" s="97"/>
      <c r="F223" s="97"/>
      <c r="G223" s="97"/>
      <c r="H223" s="97">
        <f>SUM(H224,H230)</f>
        <v>2541.1087399999997</v>
      </c>
      <c r="I223" s="97"/>
      <c r="J223" s="97"/>
      <c r="K223" s="97"/>
      <c r="L223" s="97"/>
      <c r="M223" s="97">
        <f aca="true" t="shared" si="103" ref="M223:R223">SUM(M224,M230)</f>
        <v>2270.5809200000003</v>
      </c>
      <c r="N223" s="97">
        <f t="shared" si="103"/>
        <v>0</v>
      </c>
      <c r="O223" s="97">
        <f t="shared" si="103"/>
        <v>2477.52462</v>
      </c>
      <c r="P223" s="97">
        <f t="shared" si="103"/>
        <v>2449.0066</v>
      </c>
      <c r="Q223" s="97">
        <f t="shared" si="103"/>
        <v>0</v>
      </c>
      <c r="R223" s="97">
        <f t="shared" si="103"/>
        <v>3562.97063</v>
      </c>
    </row>
    <row r="224" spans="1:18" s="67" customFormat="1" ht="11.25">
      <c r="A224" s="73" t="s">
        <v>458</v>
      </c>
      <c r="B224" s="84" t="s">
        <v>459</v>
      </c>
      <c r="C224" s="75">
        <f>SUM(C225:C226)</f>
        <v>2387.20616</v>
      </c>
      <c r="D224" s="75"/>
      <c r="E224" s="75"/>
      <c r="F224" s="75"/>
      <c r="G224" s="75"/>
      <c r="H224" s="75">
        <f>SUM(H225:H226)</f>
        <v>2535.7107499999997</v>
      </c>
      <c r="I224" s="75"/>
      <c r="J224" s="75"/>
      <c r="K224" s="75"/>
      <c r="L224" s="75"/>
      <c r="M224" s="75">
        <f aca="true" t="shared" si="104" ref="M224:R224">SUM(M225:M226)</f>
        <v>2270.27973</v>
      </c>
      <c r="N224" s="75">
        <f t="shared" si="104"/>
        <v>0</v>
      </c>
      <c r="O224" s="75">
        <f t="shared" si="104"/>
        <v>2476.13573</v>
      </c>
      <c r="P224" s="75">
        <f t="shared" si="104"/>
        <v>2447.63607</v>
      </c>
      <c r="Q224" s="75">
        <f t="shared" si="104"/>
        <v>0</v>
      </c>
      <c r="R224" s="75">
        <f t="shared" si="104"/>
        <v>3562.61354</v>
      </c>
    </row>
    <row r="225" spans="1:18" s="67" customFormat="1" ht="22.5">
      <c r="A225" s="85" t="s">
        <v>460</v>
      </c>
      <c r="B225" s="86" t="s">
        <v>461</v>
      </c>
      <c r="C225" s="87">
        <v>1025.8549</v>
      </c>
      <c r="D225" s="87"/>
      <c r="E225" s="87"/>
      <c r="F225" s="87"/>
      <c r="G225" s="87"/>
      <c r="H225" s="87">
        <v>1014.90313</v>
      </c>
      <c r="I225" s="87"/>
      <c r="J225" s="87"/>
      <c r="K225" s="87"/>
      <c r="L225" s="87"/>
      <c r="M225" s="87">
        <v>1059.1504</v>
      </c>
      <c r="N225" s="87">
        <f>L225*$N$4</f>
        <v>0</v>
      </c>
      <c r="O225" s="87">
        <v>1120.2838799999997</v>
      </c>
      <c r="P225" s="87">
        <v>1107.59991</v>
      </c>
      <c r="Q225" s="87">
        <f>N225*$Q$4</f>
        <v>0</v>
      </c>
      <c r="R225" s="87">
        <v>1322.50124</v>
      </c>
    </row>
    <row r="226" spans="1:18" s="67" customFormat="1" ht="22.5">
      <c r="A226" s="73" t="s">
        <v>462</v>
      </c>
      <c r="B226" s="84" t="s">
        <v>463</v>
      </c>
      <c r="C226" s="75">
        <f>SUM(C227:C229)</f>
        <v>1361.3512600000001</v>
      </c>
      <c r="D226" s="75"/>
      <c r="E226" s="75"/>
      <c r="F226" s="75"/>
      <c r="G226" s="75"/>
      <c r="H226" s="75">
        <f>SUM(H227:H229)</f>
        <v>1520.8076199999998</v>
      </c>
      <c r="I226" s="75"/>
      <c r="J226" s="75"/>
      <c r="K226" s="75"/>
      <c r="L226" s="75"/>
      <c r="M226" s="75">
        <f aca="true" t="shared" si="105" ref="M226:R226">SUM(M227:M229)</f>
        <v>1211.12933</v>
      </c>
      <c r="N226" s="75">
        <f t="shared" si="105"/>
        <v>0</v>
      </c>
      <c r="O226" s="75">
        <f t="shared" si="105"/>
        <v>1355.85185</v>
      </c>
      <c r="P226" s="75">
        <f t="shared" si="105"/>
        <v>1340.03616</v>
      </c>
      <c r="Q226" s="75">
        <f t="shared" si="105"/>
        <v>0</v>
      </c>
      <c r="R226" s="75">
        <f t="shared" si="105"/>
        <v>2240.1123</v>
      </c>
    </row>
    <row r="227" spans="1:18" s="67" customFormat="1" ht="22.5">
      <c r="A227" s="85" t="s">
        <v>464</v>
      </c>
      <c r="B227" s="86" t="s">
        <v>465</v>
      </c>
      <c r="C227" s="87">
        <v>307.52031</v>
      </c>
      <c r="D227" s="87"/>
      <c r="E227" s="87"/>
      <c r="F227" s="87"/>
      <c r="G227" s="87"/>
      <c r="H227" s="87">
        <v>450.99397</v>
      </c>
      <c r="I227" s="87"/>
      <c r="J227" s="87"/>
      <c r="K227" s="87"/>
      <c r="L227" s="87"/>
      <c r="M227" s="87">
        <v>384.91555</v>
      </c>
      <c r="N227" s="87">
        <f>L227*$N$4</f>
        <v>0</v>
      </c>
      <c r="O227" s="87">
        <v>451.68632</v>
      </c>
      <c r="P227" s="87">
        <v>446.39225</v>
      </c>
      <c r="Q227" s="87">
        <f>N227*$Q$4</f>
        <v>0</v>
      </c>
      <c r="R227" s="87">
        <v>694.26469</v>
      </c>
    </row>
    <row r="228" spans="1:18" s="67" customFormat="1" ht="22.5">
      <c r="A228" s="85" t="s">
        <v>466</v>
      </c>
      <c r="B228" s="86" t="s">
        <v>467</v>
      </c>
      <c r="C228" s="87">
        <v>15.62088</v>
      </c>
      <c r="D228" s="87"/>
      <c r="E228" s="87"/>
      <c r="F228" s="87"/>
      <c r="G228" s="87"/>
      <c r="H228" s="87">
        <v>16.64124</v>
      </c>
      <c r="I228" s="87"/>
      <c r="J228" s="87"/>
      <c r="K228" s="87"/>
      <c r="L228" s="87"/>
      <c r="M228" s="87">
        <v>32.61197</v>
      </c>
      <c r="N228" s="87">
        <f>L228*$N$4</f>
        <v>0</v>
      </c>
      <c r="O228" s="87">
        <v>14.53805</v>
      </c>
      <c r="P228" s="87">
        <v>14.37137</v>
      </c>
      <c r="Q228" s="87">
        <f>N228*$Q$4</f>
        <v>0</v>
      </c>
      <c r="R228" s="87">
        <v>121.3459</v>
      </c>
    </row>
    <row r="229" spans="1:18" s="67" customFormat="1" ht="11.25">
      <c r="A229" s="85" t="s">
        <v>483</v>
      </c>
      <c r="B229" s="86" t="s">
        <v>484</v>
      </c>
      <c r="C229" s="87">
        <v>1038.21007</v>
      </c>
      <c r="D229" s="87"/>
      <c r="E229" s="87"/>
      <c r="F229" s="87"/>
      <c r="G229" s="87"/>
      <c r="H229" s="87">
        <v>1053.17241</v>
      </c>
      <c r="I229" s="87"/>
      <c r="J229" s="87"/>
      <c r="K229" s="87"/>
      <c r="L229" s="87"/>
      <c r="M229" s="87">
        <v>793.60181</v>
      </c>
      <c r="N229" s="87">
        <f>L229*$N$4</f>
        <v>0</v>
      </c>
      <c r="O229" s="87">
        <v>889.6274800000001</v>
      </c>
      <c r="P229" s="87">
        <v>879.27254</v>
      </c>
      <c r="Q229" s="87">
        <f>N229*$Q$4</f>
        <v>0</v>
      </c>
      <c r="R229" s="87">
        <v>1424.50171</v>
      </c>
    </row>
    <row r="230" spans="1:18" s="67" customFormat="1" ht="22.5">
      <c r="A230" s="73" t="s">
        <v>468</v>
      </c>
      <c r="B230" s="84" t="s">
        <v>469</v>
      </c>
      <c r="C230" s="75">
        <f>C231</f>
        <v>0</v>
      </c>
      <c r="D230" s="75"/>
      <c r="E230" s="75"/>
      <c r="F230" s="75"/>
      <c r="G230" s="75"/>
      <c r="H230" s="75">
        <f>H231</f>
        <v>5.39799</v>
      </c>
      <c r="I230" s="75"/>
      <c r="J230" s="75"/>
      <c r="K230" s="75"/>
      <c r="L230" s="75"/>
      <c r="M230" s="75">
        <f aca="true" t="shared" si="106" ref="M230:R230">M231</f>
        <v>0.30119</v>
      </c>
      <c r="N230" s="75">
        <f t="shared" si="106"/>
        <v>0</v>
      </c>
      <c r="O230" s="75">
        <f t="shared" si="106"/>
        <v>1.3888900000000002</v>
      </c>
      <c r="P230" s="75">
        <f t="shared" si="106"/>
        <v>1.37053</v>
      </c>
      <c r="Q230" s="75">
        <f t="shared" si="106"/>
        <v>0</v>
      </c>
      <c r="R230" s="75">
        <f t="shared" si="106"/>
        <v>0.35709</v>
      </c>
    </row>
    <row r="231" spans="1:18" s="67" customFormat="1" ht="22.5">
      <c r="A231" s="85" t="s">
        <v>478</v>
      </c>
      <c r="B231" s="86" t="s">
        <v>479</v>
      </c>
      <c r="C231" s="87"/>
      <c r="D231" s="87"/>
      <c r="E231" s="87"/>
      <c r="F231" s="87"/>
      <c r="G231" s="87"/>
      <c r="H231" s="87">
        <v>5.39799</v>
      </c>
      <c r="I231" s="87"/>
      <c r="J231" s="87"/>
      <c r="K231" s="87"/>
      <c r="L231" s="87"/>
      <c r="M231" s="87">
        <v>0.30119</v>
      </c>
      <c r="N231" s="87">
        <f>L231*$N$4</f>
        <v>0</v>
      </c>
      <c r="O231" s="87">
        <v>1.3888900000000002</v>
      </c>
      <c r="P231" s="87">
        <v>1.37053</v>
      </c>
      <c r="Q231" s="87">
        <f>N231*$Q$4</f>
        <v>0</v>
      </c>
      <c r="R231" s="87">
        <v>0.35709</v>
      </c>
    </row>
    <row r="232" spans="1:18" s="79" customFormat="1" ht="12" thickBot="1">
      <c r="A232" s="98" t="s">
        <v>886</v>
      </c>
      <c r="B232" s="99"/>
      <c r="C232" s="100">
        <f aca="true" t="shared" si="107" ref="C232:M232">C233+C234+C237+C242+C267+C273+C280+C289+C299+C288</f>
        <v>1879575.3705600002</v>
      </c>
      <c r="D232" s="100">
        <f t="shared" si="107"/>
        <v>873966.7597123082</v>
      </c>
      <c r="E232" s="100">
        <f t="shared" si="107"/>
        <v>873966.7597123082</v>
      </c>
      <c r="F232" s="100">
        <f t="shared" si="107"/>
        <v>873966.7597123082</v>
      </c>
      <c r="G232" s="100">
        <f>G233+G234+G237+G242+G267+G273+G280+G289+G299+G288</f>
        <v>873966.7597123082</v>
      </c>
      <c r="H232" s="100">
        <f t="shared" si="107"/>
        <v>1761170.8625389999</v>
      </c>
      <c r="I232" s="100">
        <f t="shared" si="107"/>
        <v>937746.8157825253</v>
      </c>
      <c r="J232" s="100">
        <f t="shared" si="107"/>
        <v>937746.8157825253</v>
      </c>
      <c r="K232" s="100">
        <f t="shared" si="107"/>
        <v>929488.9957825254</v>
      </c>
      <c r="L232" s="100">
        <f t="shared" si="107"/>
        <v>915100.2757825253</v>
      </c>
      <c r="M232" s="100">
        <f t="shared" si="107"/>
        <v>1647542.4212073535</v>
      </c>
      <c r="N232" s="100">
        <f>N233+N234+N237+N242+N267+N273+N280+N289+N299+N288+N375</f>
        <v>966100.0623056163</v>
      </c>
      <c r="O232" s="100">
        <f>O233+O234+O237+O242+O267+O273+O280+O289+O299+O288</f>
        <v>1775551.0110199999</v>
      </c>
      <c r="P232" s="100">
        <f>P233+P234+P237+P242+P267+P273+P280+P289+P299+P288</f>
        <v>1578575.26434</v>
      </c>
      <c r="Q232" s="100">
        <f>Q233+Q234+Q237+Q242+Q267+Q273+Q280+Q289+Q299+Q288+Q375+Q297+Q298+Q372</f>
        <v>979100.7998301331</v>
      </c>
      <c r="R232" s="100">
        <f>R233+R234+R237+R242+R267+R273+R280+R289+R299+R288</f>
        <v>1470556.8317</v>
      </c>
    </row>
    <row r="233" spans="1:18" s="67" customFormat="1" ht="22.5">
      <c r="A233" s="101" t="s">
        <v>485</v>
      </c>
      <c r="B233" s="102" t="s">
        <v>486</v>
      </c>
      <c r="C233" s="103">
        <v>663.056</v>
      </c>
      <c r="D233" s="103">
        <v>752.684</v>
      </c>
      <c r="E233" s="103">
        <v>752.684</v>
      </c>
      <c r="F233" s="103">
        <v>752.684</v>
      </c>
      <c r="G233" s="103">
        <v>752.684</v>
      </c>
      <c r="H233" s="103">
        <v>738.491</v>
      </c>
      <c r="I233" s="103">
        <v>798.04</v>
      </c>
      <c r="J233" s="103">
        <v>798.04</v>
      </c>
      <c r="K233" s="103">
        <v>798.04</v>
      </c>
      <c r="L233" s="103">
        <v>798.04</v>
      </c>
      <c r="M233" s="103">
        <v>417.626</v>
      </c>
      <c r="N233" s="103">
        <v>842.265</v>
      </c>
      <c r="O233" s="103">
        <v>116.041</v>
      </c>
      <c r="P233" s="103">
        <v>114.113</v>
      </c>
      <c r="Q233" s="87">
        <f>158.48-38.833</f>
        <v>119.64699999999999</v>
      </c>
      <c r="R233" s="103">
        <v>165.417</v>
      </c>
    </row>
    <row r="234" spans="1:18" s="67" customFormat="1" ht="11.25">
      <c r="A234" s="73" t="s">
        <v>487</v>
      </c>
      <c r="B234" s="84" t="s">
        <v>488</v>
      </c>
      <c r="C234" s="75">
        <f aca="true" t="shared" si="108" ref="C234:R234">SUM(C235:C236)</f>
        <v>332228.17799999996</v>
      </c>
      <c r="D234" s="75">
        <f t="shared" si="108"/>
        <v>300049.0199566936</v>
      </c>
      <c r="E234" s="75">
        <f t="shared" si="108"/>
        <v>300049.0199566936</v>
      </c>
      <c r="F234" s="75">
        <f t="shared" si="108"/>
        <v>300049.0199566936</v>
      </c>
      <c r="G234" s="75">
        <f t="shared" si="108"/>
        <v>300049.0199566936</v>
      </c>
      <c r="H234" s="75">
        <f t="shared" si="108"/>
        <v>396387.784</v>
      </c>
      <c r="I234" s="75">
        <f t="shared" si="108"/>
        <v>356732.8135373191</v>
      </c>
      <c r="J234" s="75">
        <f t="shared" si="108"/>
        <v>356732.8135373191</v>
      </c>
      <c r="K234" s="75">
        <f t="shared" si="108"/>
        <v>356732.8135373191</v>
      </c>
      <c r="L234" s="75">
        <f t="shared" si="108"/>
        <v>356732.8135373191</v>
      </c>
      <c r="M234" s="75">
        <f t="shared" si="108"/>
        <v>370214.57700000005</v>
      </c>
      <c r="N234" s="75">
        <f t="shared" si="108"/>
        <v>398108.27127151645</v>
      </c>
      <c r="O234" s="75">
        <f t="shared" si="108"/>
        <v>325963.394</v>
      </c>
      <c r="P234" s="75">
        <f t="shared" si="108"/>
        <v>325963.394</v>
      </c>
      <c r="Q234" s="75">
        <f t="shared" si="108"/>
        <v>379859.61091996566</v>
      </c>
      <c r="R234" s="75">
        <f t="shared" si="108"/>
        <v>410542.523</v>
      </c>
    </row>
    <row r="235" spans="1:18" s="67" customFormat="1" ht="33.75">
      <c r="A235" s="85" t="s">
        <v>489</v>
      </c>
      <c r="B235" s="86" t="s">
        <v>490</v>
      </c>
      <c r="C235" s="87">
        <v>347182.834</v>
      </c>
      <c r="D235" s="87">
        <v>300049.0199566936</v>
      </c>
      <c r="E235" s="87">
        <v>300049.0199566936</v>
      </c>
      <c r="F235" s="87">
        <v>300049.0199566936</v>
      </c>
      <c r="G235" s="87">
        <v>300049.0199566936</v>
      </c>
      <c r="H235" s="87">
        <v>396387.784</v>
      </c>
      <c r="I235" s="87">
        <v>356732.8135373191</v>
      </c>
      <c r="J235" s="87">
        <v>356732.8135373191</v>
      </c>
      <c r="K235" s="87">
        <v>356732.8135373191</v>
      </c>
      <c r="L235" s="87">
        <v>356732.8135373191</v>
      </c>
      <c r="M235" s="87">
        <v>370214.57700000005</v>
      </c>
      <c r="N235" s="87">
        <v>398108.27127151645</v>
      </c>
      <c r="O235" s="87">
        <v>325963.394</v>
      </c>
      <c r="P235" s="87">
        <v>325963.394</v>
      </c>
      <c r="Q235" s="87">
        <v>379859.61091996566</v>
      </c>
      <c r="R235" s="87">
        <v>410542.523</v>
      </c>
    </row>
    <row r="236" spans="1:18" s="67" customFormat="1" ht="22.5">
      <c r="A236" s="85" t="s">
        <v>491</v>
      </c>
      <c r="B236" s="86" t="s">
        <v>492</v>
      </c>
      <c r="C236" s="92">
        <v>-14954.656</v>
      </c>
      <c r="D236" s="92"/>
      <c r="E236" s="92"/>
      <c r="F236" s="92"/>
      <c r="G236" s="92"/>
      <c r="H236" s="92"/>
      <c r="I236" s="92"/>
      <c r="J236" s="92"/>
      <c r="K236" s="92"/>
      <c r="L236" s="92"/>
      <c r="M236" s="92"/>
      <c r="N236" s="92"/>
      <c r="O236" s="92">
        <v>0</v>
      </c>
      <c r="P236" s="92">
        <v>0</v>
      </c>
      <c r="Q236" s="92"/>
      <c r="R236" s="92"/>
    </row>
    <row r="237" spans="1:18" s="67" customFormat="1" ht="22.5">
      <c r="A237" s="73" t="s">
        <v>493</v>
      </c>
      <c r="B237" s="84" t="s">
        <v>494</v>
      </c>
      <c r="C237" s="75">
        <f aca="true" t="shared" si="109" ref="C237:R237">C238</f>
        <v>155447.446</v>
      </c>
      <c r="D237" s="75">
        <f t="shared" si="109"/>
        <v>168159.25947080055</v>
      </c>
      <c r="E237" s="75">
        <f t="shared" si="109"/>
        <v>168159.25947080055</v>
      </c>
      <c r="F237" s="75">
        <f t="shared" si="109"/>
        <v>168159.25947080055</v>
      </c>
      <c r="G237" s="75">
        <f t="shared" si="109"/>
        <v>168159.25947080055</v>
      </c>
      <c r="H237" s="75">
        <f t="shared" si="109"/>
        <v>183310.601</v>
      </c>
      <c r="I237" s="75">
        <f t="shared" si="109"/>
        <v>199501.39491975075</v>
      </c>
      <c r="J237" s="75">
        <f t="shared" si="109"/>
        <v>199501.39491975075</v>
      </c>
      <c r="K237" s="75">
        <f t="shared" si="109"/>
        <v>199501.39491975075</v>
      </c>
      <c r="L237" s="75">
        <f t="shared" si="109"/>
        <v>199501.39491975075</v>
      </c>
      <c r="M237" s="75">
        <f t="shared" si="109"/>
        <v>209160.16</v>
      </c>
      <c r="N237" s="75">
        <f t="shared" si="109"/>
        <v>277497.58368199354</v>
      </c>
      <c r="O237" s="75">
        <f t="shared" si="109"/>
        <v>259775.2</v>
      </c>
      <c r="P237" s="75">
        <f t="shared" si="109"/>
        <v>259775.199</v>
      </c>
      <c r="Q237" s="75">
        <f t="shared" si="109"/>
        <v>291918.3273594</v>
      </c>
      <c r="R237" s="75">
        <f t="shared" si="109"/>
        <v>278541.712</v>
      </c>
    </row>
    <row r="238" spans="1:18" s="67" customFormat="1" ht="22.5">
      <c r="A238" s="73" t="s">
        <v>495</v>
      </c>
      <c r="B238" s="84" t="s">
        <v>496</v>
      </c>
      <c r="C238" s="75">
        <f>SUM(C239:C241)</f>
        <v>155447.446</v>
      </c>
      <c r="D238" s="75">
        <v>168159.25947080055</v>
      </c>
      <c r="E238" s="75">
        <v>168159.25947080055</v>
      </c>
      <c r="F238" s="75">
        <v>168159.25947080055</v>
      </c>
      <c r="G238" s="75">
        <v>168159.25947080055</v>
      </c>
      <c r="H238" s="75">
        <f>SUM(H239:H241)</f>
        <v>183310.601</v>
      </c>
      <c r="I238" s="75">
        <v>199501.39491975075</v>
      </c>
      <c r="J238" s="75">
        <v>199501.39491975075</v>
      </c>
      <c r="K238" s="75">
        <v>199501.39491975075</v>
      </c>
      <c r="L238" s="75">
        <v>199501.39491975075</v>
      </c>
      <c r="M238" s="75">
        <f aca="true" t="shared" si="110" ref="M238:R238">SUM(M239:M241)</f>
        <v>209160.16</v>
      </c>
      <c r="N238" s="75">
        <f t="shared" si="110"/>
        <v>277497.58368199354</v>
      </c>
      <c r="O238" s="75">
        <f t="shared" si="110"/>
        <v>259775.2</v>
      </c>
      <c r="P238" s="75">
        <f t="shared" si="110"/>
        <v>259775.199</v>
      </c>
      <c r="Q238" s="75">
        <f t="shared" si="110"/>
        <v>291918.3273594</v>
      </c>
      <c r="R238" s="75">
        <f t="shared" si="110"/>
        <v>278541.712</v>
      </c>
    </row>
    <row r="239" spans="1:18" s="67" customFormat="1" ht="22.5">
      <c r="A239" s="85" t="s">
        <v>497</v>
      </c>
      <c r="B239" s="86" t="s">
        <v>498</v>
      </c>
      <c r="C239" s="92">
        <v>130071.741</v>
      </c>
      <c r="D239" s="92"/>
      <c r="E239" s="92"/>
      <c r="F239" s="92"/>
      <c r="G239" s="92"/>
      <c r="H239" s="92">
        <v>126136.511</v>
      </c>
      <c r="I239" s="92"/>
      <c r="J239" s="92">
        <v>156858.20087472</v>
      </c>
      <c r="K239" s="92">
        <v>76327.98669359999</v>
      </c>
      <c r="L239" s="92">
        <v>76327.9867</v>
      </c>
      <c r="M239" s="92">
        <v>156858.201</v>
      </c>
      <c r="N239" s="92">
        <v>213187.46368122724</v>
      </c>
      <c r="O239" s="92">
        <v>213187.462</v>
      </c>
      <c r="P239" s="92">
        <v>213187.462</v>
      </c>
      <c r="Q239" s="92">
        <v>226522.79735940002</v>
      </c>
      <c r="R239" s="92">
        <v>223212.38</v>
      </c>
    </row>
    <row r="240" spans="1:18" s="67" customFormat="1" ht="22.5">
      <c r="A240" s="85" t="s">
        <v>499</v>
      </c>
      <c r="B240" s="86" t="s">
        <v>500</v>
      </c>
      <c r="C240" s="92">
        <v>35641.608</v>
      </c>
      <c r="D240" s="92"/>
      <c r="E240" s="92"/>
      <c r="F240" s="92"/>
      <c r="G240" s="92"/>
      <c r="H240" s="92">
        <v>57174.09</v>
      </c>
      <c r="I240" s="92"/>
      <c r="J240" s="92">
        <v>42643.19407544219</v>
      </c>
      <c r="K240" s="92">
        <v>33154.249195948796</v>
      </c>
      <c r="L240" s="92">
        <v>28894.653080000004</v>
      </c>
      <c r="M240" s="92">
        <v>52301.958999999995</v>
      </c>
      <c r="N240" s="92">
        <v>64310.12000076631</v>
      </c>
      <c r="O240" s="92">
        <v>46587.738</v>
      </c>
      <c r="P240" s="92">
        <v>46587.737</v>
      </c>
      <c r="Q240" s="92">
        <v>65395.53</v>
      </c>
      <c r="R240" s="92">
        <v>55329.332</v>
      </c>
    </row>
    <row r="241" spans="1:18" s="67" customFormat="1" ht="11.25">
      <c r="A241" s="85" t="s">
        <v>501</v>
      </c>
      <c r="B241" s="86" t="s">
        <v>502</v>
      </c>
      <c r="C241" s="92">
        <v>-10265.903</v>
      </c>
      <c r="D241" s="92"/>
      <c r="E241" s="92"/>
      <c r="F241" s="92"/>
      <c r="G241" s="92"/>
      <c r="H241" s="92">
        <v>0</v>
      </c>
      <c r="I241" s="92"/>
      <c r="J241" s="92"/>
      <c r="K241" s="92"/>
      <c r="L241" s="92"/>
      <c r="M241" s="92"/>
      <c r="N241" s="92"/>
      <c r="O241" s="92">
        <v>0</v>
      </c>
      <c r="P241" s="92">
        <v>0</v>
      </c>
      <c r="Q241" s="92"/>
      <c r="R241" s="92"/>
    </row>
    <row r="242" spans="1:18" s="67" customFormat="1" ht="11.25" customHeight="1">
      <c r="A242" s="73" t="s">
        <v>503</v>
      </c>
      <c r="B242" s="84" t="s">
        <v>504</v>
      </c>
      <c r="C242" s="75">
        <f>SUM(C243,C249,C255,C261)</f>
        <v>138497.259</v>
      </c>
      <c r="D242" s="75">
        <v>161840.9784448141</v>
      </c>
      <c r="E242" s="75">
        <v>161840.9784448141</v>
      </c>
      <c r="F242" s="75">
        <v>161840.9784448141</v>
      </c>
      <c r="G242" s="75">
        <v>161840.9784448141</v>
      </c>
      <c r="H242" s="75">
        <f>SUM(H243,H249,H255,H261)</f>
        <v>151175.943</v>
      </c>
      <c r="I242" s="75">
        <v>169327.2850854556</v>
      </c>
      <c r="J242" s="75">
        <v>169327.2850854556</v>
      </c>
      <c r="K242" s="75">
        <v>169327.2850854556</v>
      </c>
      <c r="L242" s="75">
        <v>169327.2850854556</v>
      </c>
      <c r="M242" s="75">
        <f aca="true" t="shared" si="111" ref="M242:R242">SUM(M243,M249,M255,M261)</f>
        <v>164830.313</v>
      </c>
      <c r="N242" s="75">
        <f t="shared" si="111"/>
        <v>173267.139689154</v>
      </c>
      <c r="O242" s="75">
        <f t="shared" si="111"/>
        <v>176750.88999999998</v>
      </c>
      <c r="P242" s="75">
        <f t="shared" si="111"/>
        <v>173229.967</v>
      </c>
      <c r="Q242" s="75">
        <f t="shared" si="111"/>
        <v>177843.1879341585</v>
      </c>
      <c r="R242" s="75">
        <f t="shared" si="111"/>
        <v>191601.779</v>
      </c>
    </row>
    <row r="243" spans="1:18" s="67" customFormat="1" ht="33.75">
      <c r="A243" s="73" t="s">
        <v>505</v>
      </c>
      <c r="B243" s="84" t="s">
        <v>506</v>
      </c>
      <c r="C243" s="75">
        <f aca="true" t="shared" si="112" ref="C243:M243">SUM(C244:C248)</f>
        <v>100060.33799999999</v>
      </c>
      <c r="D243" s="75">
        <f t="shared" si="112"/>
        <v>0</v>
      </c>
      <c r="E243" s="75">
        <f t="shared" si="112"/>
        <v>0</v>
      </c>
      <c r="F243" s="75">
        <f t="shared" si="112"/>
        <v>0</v>
      </c>
      <c r="G243" s="75">
        <f t="shared" si="112"/>
        <v>0</v>
      </c>
      <c r="H243" s="75">
        <v>110311.22</v>
      </c>
      <c r="I243" s="75">
        <f>SUM(I244:I248)</f>
        <v>0</v>
      </c>
      <c r="J243" s="75">
        <f t="shared" si="112"/>
        <v>0</v>
      </c>
      <c r="K243" s="75">
        <f t="shared" si="112"/>
        <v>0</v>
      </c>
      <c r="L243" s="75">
        <f t="shared" si="112"/>
        <v>0</v>
      </c>
      <c r="M243" s="75">
        <f t="shared" si="112"/>
        <v>119239.793</v>
      </c>
      <c r="N243" s="75">
        <f>N86*0.22</f>
        <v>125225.92224577488</v>
      </c>
      <c r="O243" s="75">
        <f>SUM(O244:O248)</f>
        <v>128137.505</v>
      </c>
      <c r="P243" s="75">
        <f>SUM(P244:P248)</f>
        <v>125585.96399999998</v>
      </c>
      <c r="Q243" s="75">
        <f>Q86*0.22</f>
        <v>128533.18444650089</v>
      </c>
      <c r="R243" s="75">
        <f>SUM(R244:R248)</f>
        <v>137801.98799999998</v>
      </c>
    </row>
    <row r="244" spans="1:18" s="67" customFormat="1" ht="33.75" outlineLevel="2">
      <c r="A244" s="85" t="s">
        <v>507</v>
      </c>
      <c r="B244" s="86" t="s">
        <v>508</v>
      </c>
      <c r="C244" s="92">
        <v>83164.213</v>
      </c>
      <c r="D244" s="92"/>
      <c r="E244" s="92"/>
      <c r="F244" s="92"/>
      <c r="G244" s="92"/>
      <c r="H244" s="92"/>
      <c r="I244" s="92"/>
      <c r="J244" s="92"/>
      <c r="K244" s="92"/>
      <c r="L244" s="92"/>
      <c r="M244" s="92">
        <v>98875.74900000001</v>
      </c>
      <c r="N244" s="92"/>
      <c r="O244" s="92">
        <v>107547.66</v>
      </c>
      <c r="P244" s="92">
        <v>105316.95999999999</v>
      </c>
      <c r="Q244" s="92"/>
      <c r="R244" s="92">
        <v>117284.562</v>
      </c>
    </row>
    <row r="245" spans="1:18" s="67" customFormat="1" ht="45" outlineLevel="2">
      <c r="A245" s="85" t="s">
        <v>509</v>
      </c>
      <c r="B245" s="86" t="s">
        <v>510</v>
      </c>
      <c r="C245" s="92">
        <v>4071.249</v>
      </c>
      <c r="D245" s="92"/>
      <c r="E245" s="92"/>
      <c r="F245" s="92"/>
      <c r="G245" s="92"/>
      <c r="H245" s="92"/>
      <c r="I245" s="92"/>
      <c r="J245" s="92"/>
      <c r="K245" s="92"/>
      <c r="L245" s="92"/>
      <c r="M245" s="92">
        <v>4109.098</v>
      </c>
      <c r="N245" s="92"/>
      <c r="O245" s="92">
        <v>4483.586</v>
      </c>
      <c r="P245" s="92">
        <v>4419.121</v>
      </c>
      <c r="Q245" s="92"/>
      <c r="R245" s="92">
        <v>3319.154</v>
      </c>
    </row>
    <row r="246" spans="1:18" s="67" customFormat="1" ht="45" outlineLevel="2">
      <c r="A246" s="85" t="s">
        <v>511</v>
      </c>
      <c r="B246" s="86" t="s">
        <v>512</v>
      </c>
      <c r="C246" s="92">
        <v>3397.443</v>
      </c>
      <c r="D246" s="92"/>
      <c r="E246" s="92"/>
      <c r="F246" s="92"/>
      <c r="G246" s="92"/>
      <c r="H246" s="92"/>
      <c r="I246" s="92"/>
      <c r="J246" s="92"/>
      <c r="K246" s="92"/>
      <c r="L246" s="92"/>
      <c r="M246" s="92">
        <v>4085.8469999999998</v>
      </c>
      <c r="N246" s="92"/>
      <c r="O246" s="92">
        <v>4377.808</v>
      </c>
      <c r="P246" s="92">
        <v>4321.571</v>
      </c>
      <c r="Q246" s="92"/>
      <c r="R246" s="92">
        <v>4836.218</v>
      </c>
    </row>
    <row r="247" spans="1:18" s="67" customFormat="1" ht="45" outlineLevel="2">
      <c r="A247" s="85" t="s">
        <v>513</v>
      </c>
      <c r="B247" s="86" t="s">
        <v>514</v>
      </c>
      <c r="C247" s="92">
        <v>1747.112</v>
      </c>
      <c r="D247" s="92"/>
      <c r="E247" s="92"/>
      <c r="F247" s="92"/>
      <c r="G247" s="92"/>
      <c r="H247" s="92"/>
      <c r="I247" s="92"/>
      <c r="J247" s="92"/>
      <c r="K247" s="92"/>
      <c r="L247" s="92"/>
      <c r="M247" s="92">
        <v>1935.692</v>
      </c>
      <c r="N247" s="92"/>
      <c r="O247" s="92">
        <v>2021.429</v>
      </c>
      <c r="P247" s="92">
        <v>1992.3319999999999</v>
      </c>
      <c r="Q247" s="92"/>
      <c r="R247" s="92">
        <v>2175.56</v>
      </c>
    </row>
    <row r="248" spans="1:18" s="67" customFormat="1" ht="33.75" outlineLevel="2">
      <c r="A248" s="85" t="s">
        <v>515</v>
      </c>
      <c r="B248" s="86" t="s">
        <v>516</v>
      </c>
      <c r="C248" s="92">
        <v>7680.321</v>
      </c>
      <c r="D248" s="92"/>
      <c r="E248" s="92"/>
      <c r="F248" s="92"/>
      <c r="G248" s="92"/>
      <c r="H248" s="92"/>
      <c r="I248" s="92"/>
      <c r="J248" s="92"/>
      <c r="K248" s="92"/>
      <c r="L248" s="92"/>
      <c r="M248" s="92">
        <v>10233.407</v>
      </c>
      <c r="N248" s="92"/>
      <c r="O248" s="92">
        <v>9707.022</v>
      </c>
      <c r="P248" s="92">
        <v>9535.98</v>
      </c>
      <c r="Q248" s="92"/>
      <c r="R248" s="92">
        <v>10186.494</v>
      </c>
    </row>
    <row r="249" spans="1:18" s="67" customFormat="1" ht="22.5">
      <c r="A249" s="73" t="s">
        <v>517</v>
      </c>
      <c r="B249" s="84" t="s">
        <v>518</v>
      </c>
      <c r="C249" s="75">
        <f aca="true" t="shared" si="113" ref="C249:M249">SUM(C250:C254)</f>
        <v>23531.779</v>
      </c>
      <c r="D249" s="75">
        <f t="shared" si="113"/>
        <v>0</v>
      </c>
      <c r="E249" s="75">
        <f t="shared" si="113"/>
        <v>0</v>
      </c>
      <c r="F249" s="75">
        <f t="shared" si="113"/>
        <v>0</v>
      </c>
      <c r="G249" s="75">
        <f t="shared" si="113"/>
        <v>0</v>
      </c>
      <c r="H249" s="75">
        <v>25611.294</v>
      </c>
      <c r="I249" s="75">
        <f t="shared" si="113"/>
        <v>0</v>
      </c>
      <c r="J249" s="75">
        <f t="shared" si="113"/>
        <v>0</v>
      </c>
      <c r="K249" s="75">
        <f t="shared" si="113"/>
        <v>0</v>
      </c>
      <c r="L249" s="75">
        <f t="shared" si="113"/>
        <v>0</v>
      </c>
      <c r="M249" s="75">
        <f t="shared" si="113"/>
        <v>27615.649999999998</v>
      </c>
      <c r="N249" s="75">
        <f>N86*0.051</f>
        <v>29029.645611520536</v>
      </c>
      <c r="O249" s="75">
        <f>SUM(O250:O254)</f>
        <v>29827.322</v>
      </c>
      <c r="P249" s="75">
        <f>SUM(P250:P254)</f>
        <v>29233.944000000003</v>
      </c>
      <c r="Q249" s="75">
        <f>Q86*0.051</f>
        <v>29796.32912168884</v>
      </c>
      <c r="R249" s="75">
        <f>SUM(R250:R254)</f>
        <v>32664.159</v>
      </c>
    </row>
    <row r="250" spans="1:18" s="67" customFormat="1" ht="22.5" outlineLevel="2">
      <c r="A250" s="85" t="s">
        <v>519</v>
      </c>
      <c r="B250" s="86" t="s">
        <v>520</v>
      </c>
      <c r="C250" s="92">
        <v>19401.998</v>
      </c>
      <c r="D250" s="92"/>
      <c r="E250" s="92"/>
      <c r="F250" s="92"/>
      <c r="G250" s="92"/>
      <c r="H250" s="92"/>
      <c r="I250" s="92"/>
      <c r="J250" s="92"/>
      <c r="K250" s="92"/>
      <c r="L250" s="92"/>
      <c r="M250" s="104">
        <v>22886.827</v>
      </c>
      <c r="N250" s="92"/>
      <c r="O250" s="104">
        <v>24911.303</v>
      </c>
      <c r="P250" s="104">
        <v>24395.592</v>
      </c>
      <c r="Q250" s="92"/>
      <c r="R250" s="104">
        <v>27886.127</v>
      </c>
    </row>
    <row r="251" spans="1:18" s="67" customFormat="1" ht="22.5" outlineLevel="2">
      <c r="A251" s="85" t="s">
        <v>521</v>
      </c>
      <c r="B251" s="86" t="s">
        <v>522</v>
      </c>
      <c r="C251" s="92">
        <v>1098.024</v>
      </c>
      <c r="D251" s="92"/>
      <c r="E251" s="92"/>
      <c r="F251" s="92"/>
      <c r="G251" s="92"/>
      <c r="H251" s="92"/>
      <c r="I251" s="92"/>
      <c r="J251" s="92"/>
      <c r="K251" s="92"/>
      <c r="L251" s="92"/>
      <c r="M251" s="104">
        <v>952.564</v>
      </c>
      <c r="N251" s="92"/>
      <c r="O251" s="104">
        <v>1163.439</v>
      </c>
      <c r="P251" s="104">
        <v>1145.541</v>
      </c>
      <c r="Q251" s="92"/>
      <c r="R251" s="104">
        <v>772.954</v>
      </c>
    </row>
    <row r="252" spans="1:18" s="67" customFormat="1" ht="22.5" outlineLevel="2">
      <c r="A252" s="85" t="s">
        <v>523</v>
      </c>
      <c r="B252" s="86" t="s">
        <v>524</v>
      </c>
      <c r="C252" s="92">
        <v>833.607</v>
      </c>
      <c r="D252" s="92"/>
      <c r="E252" s="92"/>
      <c r="F252" s="92"/>
      <c r="G252" s="92"/>
      <c r="H252" s="92"/>
      <c r="I252" s="92"/>
      <c r="J252" s="92"/>
      <c r="K252" s="92"/>
      <c r="L252" s="92"/>
      <c r="M252" s="104">
        <v>947.174</v>
      </c>
      <c r="N252" s="92"/>
      <c r="O252" s="104">
        <v>1035.596</v>
      </c>
      <c r="P252" s="104">
        <v>1022.136</v>
      </c>
      <c r="Q252" s="92"/>
      <c r="R252" s="104">
        <v>1126.243</v>
      </c>
    </row>
    <row r="253" spans="1:18" s="67" customFormat="1" ht="22.5" outlineLevel="2">
      <c r="A253" s="85" t="s">
        <v>525</v>
      </c>
      <c r="B253" s="86" t="s">
        <v>526</v>
      </c>
      <c r="C253" s="92">
        <v>405.013</v>
      </c>
      <c r="D253" s="92"/>
      <c r="E253" s="92"/>
      <c r="F253" s="92"/>
      <c r="G253" s="92"/>
      <c r="H253" s="92"/>
      <c r="I253" s="92"/>
      <c r="J253" s="92"/>
      <c r="K253" s="92"/>
      <c r="L253" s="92"/>
      <c r="M253" s="104">
        <v>448.72799999999995</v>
      </c>
      <c r="N253" s="92"/>
      <c r="O253" s="104">
        <v>467.349</v>
      </c>
      <c r="P253" s="104">
        <v>460.632</v>
      </c>
      <c r="Q253" s="92"/>
      <c r="R253" s="104">
        <v>506.638</v>
      </c>
    </row>
    <row r="254" spans="1:18" s="67" customFormat="1" ht="22.5" outlineLevel="2">
      <c r="A254" s="85" t="s">
        <v>527</v>
      </c>
      <c r="B254" s="86" t="s">
        <v>528</v>
      </c>
      <c r="C254" s="92">
        <v>1793.137</v>
      </c>
      <c r="D254" s="92"/>
      <c r="E254" s="92"/>
      <c r="F254" s="92"/>
      <c r="G254" s="92"/>
      <c r="H254" s="92"/>
      <c r="I254" s="92"/>
      <c r="J254" s="92"/>
      <c r="K254" s="92"/>
      <c r="L254" s="92"/>
      <c r="M254" s="104">
        <v>2380.357</v>
      </c>
      <c r="N254" s="92"/>
      <c r="O254" s="104">
        <v>2249.635</v>
      </c>
      <c r="P254" s="104">
        <v>2210.0429999999997</v>
      </c>
      <c r="Q254" s="92"/>
      <c r="R254" s="104">
        <v>2372.197</v>
      </c>
    </row>
    <row r="255" spans="1:18" s="67" customFormat="1" ht="22.5">
      <c r="A255" s="73" t="s">
        <v>529</v>
      </c>
      <c r="B255" s="84" t="s">
        <v>530</v>
      </c>
      <c r="C255" s="75">
        <f aca="true" t="shared" si="114" ref="C255:M255">SUM(C256:C260)</f>
        <v>1817.8469999999998</v>
      </c>
      <c r="D255" s="75">
        <f t="shared" si="114"/>
        <v>0</v>
      </c>
      <c r="E255" s="75">
        <f t="shared" si="114"/>
        <v>0</v>
      </c>
      <c r="F255" s="75">
        <f t="shared" si="114"/>
        <v>0</v>
      </c>
      <c r="G255" s="75">
        <f t="shared" si="114"/>
        <v>0</v>
      </c>
      <c r="H255" s="75">
        <v>980.508</v>
      </c>
      <c r="I255" s="75">
        <f t="shared" si="114"/>
        <v>0</v>
      </c>
      <c r="J255" s="75">
        <f t="shared" si="114"/>
        <v>0</v>
      </c>
      <c r="K255" s="75">
        <f t="shared" si="114"/>
        <v>0</v>
      </c>
      <c r="L255" s="75">
        <f t="shared" si="114"/>
        <v>0</v>
      </c>
      <c r="M255" s="75">
        <f t="shared" si="114"/>
        <v>2394.242</v>
      </c>
      <c r="N255" s="75">
        <f>N86*0.0044</f>
        <v>2504.5184449154976</v>
      </c>
      <c r="O255" s="75">
        <f>SUM(O256:O260)</f>
        <v>2305.0379999999996</v>
      </c>
      <c r="P255" s="75">
        <f>SUM(P256:P260)</f>
        <v>2258.946</v>
      </c>
      <c r="Q255" s="75">
        <f>Q86*0.0044</f>
        <v>2570.663688930018</v>
      </c>
      <c r="R255" s="75">
        <f>SUM(R256:R260)</f>
        <v>2561.8959999999997</v>
      </c>
    </row>
    <row r="256" spans="1:18" s="67" customFormat="1" ht="22.5" outlineLevel="1">
      <c r="A256" s="85" t="s">
        <v>531</v>
      </c>
      <c r="B256" s="86" t="s">
        <v>532</v>
      </c>
      <c r="C256" s="92">
        <v>1493.387</v>
      </c>
      <c r="D256" s="92"/>
      <c r="E256" s="92"/>
      <c r="F256" s="92"/>
      <c r="G256" s="92"/>
      <c r="H256" s="92"/>
      <c r="I256" s="92"/>
      <c r="J256" s="92"/>
      <c r="K256" s="92"/>
      <c r="L256" s="92"/>
      <c r="M256" s="104">
        <v>1984.066</v>
      </c>
      <c r="N256" s="92"/>
      <c r="O256" s="104">
        <v>1935.166</v>
      </c>
      <c r="P256" s="104">
        <v>1894.804</v>
      </c>
      <c r="Q256" s="92"/>
      <c r="R256" s="104">
        <v>2187.147</v>
      </c>
    </row>
    <row r="257" spans="1:18" s="67" customFormat="1" ht="33.75" outlineLevel="1">
      <c r="A257" s="85" t="s">
        <v>533</v>
      </c>
      <c r="B257" s="86" t="s">
        <v>534</v>
      </c>
      <c r="C257" s="92">
        <v>86.119</v>
      </c>
      <c r="D257" s="92"/>
      <c r="E257" s="92"/>
      <c r="F257" s="92"/>
      <c r="G257" s="92"/>
      <c r="H257" s="92"/>
      <c r="I257" s="92"/>
      <c r="J257" s="92"/>
      <c r="K257" s="92"/>
      <c r="L257" s="92"/>
      <c r="M257" s="104">
        <v>82.148</v>
      </c>
      <c r="N257" s="92"/>
      <c r="O257" s="104">
        <v>90.96</v>
      </c>
      <c r="P257" s="104">
        <v>89.55799999999999</v>
      </c>
      <c r="Q257" s="92"/>
      <c r="R257" s="104">
        <v>60.624</v>
      </c>
    </row>
    <row r="258" spans="1:18" s="67" customFormat="1" ht="33.75" outlineLevel="1">
      <c r="A258" s="85" t="s">
        <v>535</v>
      </c>
      <c r="B258" s="86" t="s">
        <v>536</v>
      </c>
      <c r="C258" s="92">
        <v>66.841</v>
      </c>
      <c r="D258" s="92"/>
      <c r="E258" s="92"/>
      <c r="F258" s="92"/>
      <c r="G258" s="92"/>
      <c r="H258" s="92"/>
      <c r="I258" s="92"/>
      <c r="J258" s="92"/>
      <c r="K258" s="92"/>
      <c r="L258" s="92"/>
      <c r="M258" s="104">
        <v>81.401</v>
      </c>
      <c r="N258" s="92"/>
      <c r="O258" s="104">
        <v>81.025</v>
      </c>
      <c r="P258" s="104">
        <v>79.971</v>
      </c>
      <c r="Q258" s="92"/>
      <c r="R258" s="104">
        <v>88.333</v>
      </c>
    </row>
    <row r="259" spans="1:18" s="67" customFormat="1" ht="33.75" outlineLevel="1">
      <c r="A259" s="85" t="s">
        <v>537</v>
      </c>
      <c r="B259" s="86" t="s">
        <v>538</v>
      </c>
      <c r="C259" s="92">
        <v>31.592</v>
      </c>
      <c r="D259" s="92"/>
      <c r="E259" s="92"/>
      <c r="F259" s="92"/>
      <c r="G259" s="92"/>
      <c r="H259" s="92"/>
      <c r="I259" s="92"/>
      <c r="J259" s="92"/>
      <c r="K259" s="92"/>
      <c r="L259" s="92"/>
      <c r="M259" s="104">
        <v>38.51</v>
      </c>
      <c r="N259" s="92"/>
      <c r="O259" s="104">
        <v>36.522</v>
      </c>
      <c r="P259" s="104">
        <v>35.997</v>
      </c>
      <c r="Q259" s="92"/>
      <c r="R259" s="104">
        <v>39.737</v>
      </c>
    </row>
    <row r="260" spans="1:18" s="67" customFormat="1" ht="33.75" outlineLevel="1">
      <c r="A260" s="85" t="s">
        <v>539</v>
      </c>
      <c r="B260" s="86" t="s">
        <v>540</v>
      </c>
      <c r="C260" s="92">
        <v>139.908</v>
      </c>
      <c r="D260" s="92"/>
      <c r="E260" s="92"/>
      <c r="F260" s="92"/>
      <c r="G260" s="92"/>
      <c r="H260" s="92"/>
      <c r="I260" s="92"/>
      <c r="J260" s="92"/>
      <c r="K260" s="92"/>
      <c r="L260" s="92"/>
      <c r="M260" s="104">
        <v>208.11700000000002</v>
      </c>
      <c r="N260" s="92"/>
      <c r="O260" s="104">
        <v>161.365</v>
      </c>
      <c r="P260" s="104">
        <v>158.616</v>
      </c>
      <c r="Q260" s="92"/>
      <c r="R260" s="104">
        <v>186.055</v>
      </c>
    </row>
    <row r="261" spans="1:18" s="67" customFormat="1" ht="33.75">
      <c r="A261" s="73" t="s">
        <v>541</v>
      </c>
      <c r="B261" s="84" t="s">
        <v>542</v>
      </c>
      <c r="C261" s="75">
        <f aca="true" t="shared" si="115" ref="C261:M261">SUM(C262:C266)</f>
        <v>13087.295000000002</v>
      </c>
      <c r="D261" s="75">
        <f t="shared" si="115"/>
        <v>0</v>
      </c>
      <c r="E261" s="75">
        <f t="shared" si="115"/>
        <v>0</v>
      </c>
      <c r="F261" s="75">
        <f t="shared" si="115"/>
        <v>0</v>
      </c>
      <c r="G261" s="75">
        <f t="shared" si="115"/>
        <v>0</v>
      </c>
      <c r="H261" s="75">
        <v>14272.921</v>
      </c>
      <c r="I261" s="75">
        <f t="shared" si="115"/>
        <v>0</v>
      </c>
      <c r="J261" s="75">
        <f t="shared" si="115"/>
        <v>0</v>
      </c>
      <c r="K261" s="75">
        <f t="shared" si="115"/>
        <v>0</v>
      </c>
      <c r="L261" s="75">
        <f t="shared" si="115"/>
        <v>0</v>
      </c>
      <c r="M261" s="75">
        <f t="shared" si="115"/>
        <v>15580.627999999999</v>
      </c>
      <c r="N261" s="75">
        <f>N86*0.029</f>
        <v>16507.05338694305</v>
      </c>
      <c r="O261" s="75">
        <f>SUM(O262:O266)</f>
        <v>16481.024999999998</v>
      </c>
      <c r="P261" s="75">
        <f>SUM(P262:P266)</f>
        <v>16151.113000000001</v>
      </c>
      <c r="Q261" s="75">
        <f>Q86*0.029</f>
        <v>16943.010677038754</v>
      </c>
      <c r="R261" s="75">
        <f>SUM(R262:R266)</f>
        <v>18573.735999999997</v>
      </c>
    </row>
    <row r="262" spans="1:18" s="67" customFormat="1" ht="33.75" outlineLevel="1">
      <c r="A262" s="85" t="s">
        <v>543</v>
      </c>
      <c r="B262" s="86" t="s">
        <v>544</v>
      </c>
      <c r="C262" s="92">
        <v>10804.143</v>
      </c>
      <c r="D262" s="92"/>
      <c r="E262" s="92"/>
      <c r="F262" s="92"/>
      <c r="G262" s="92"/>
      <c r="H262" s="92"/>
      <c r="I262" s="92"/>
      <c r="J262" s="92"/>
      <c r="K262" s="92"/>
      <c r="L262" s="92"/>
      <c r="M262" s="92">
        <v>12850.14</v>
      </c>
      <c r="N262" s="92"/>
      <c r="O262" s="92">
        <v>13974.541</v>
      </c>
      <c r="P262" s="92">
        <v>13683.968</v>
      </c>
      <c r="Q262" s="92"/>
      <c r="R262" s="92">
        <v>15856.817</v>
      </c>
    </row>
    <row r="263" spans="1:18" s="67" customFormat="1" ht="45" outlineLevel="1">
      <c r="A263" s="85" t="s">
        <v>545</v>
      </c>
      <c r="B263" s="86" t="s">
        <v>546</v>
      </c>
      <c r="C263" s="92">
        <v>624.367</v>
      </c>
      <c r="D263" s="92"/>
      <c r="E263" s="92"/>
      <c r="F263" s="92"/>
      <c r="G263" s="92"/>
      <c r="H263" s="92"/>
      <c r="I263" s="92"/>
      <c r="J263" s="92"/>
      <c r="K263" s="92"/>
      <c r="L263" s="92"/>
      <c r="M263" s="92">
        <v>541.689</v>
      </c>
      <c r="N263" s="92"/>
      <c r="O263" s="92">
        <v>483.465</v>
      </c>
      <c r="P263" s="92">
        <v>476.777</v>
      </c>
      <c r="Q263" s="92"/>
      <c r="R263" s="92">
        <v>439.523</v>
      </c>
    </row>
    <row r="264" spans="1:18" s="67" customFormat="1" ht="45" outlineLevel="1">
      <c r="A264" s="85" t="s">
        <v>547</v>
      </c>
      <c r="B264" s="86" t="s">
        <v>548</v>
      </c>
      <c r="C264" s="92">
        <v>428.414</v>
      </c>
      <c r="D264" s="92"/>
      <c r="E264" s="92"/>
      <c r="F264" s="92"/>
      <c r="G264" s="92"/>
      <c r="H264" s="92"/>
      <c r="I264" s="92"/>
      <c r="J264" s="92"/>
      <c r="K264" s="92"/>
      <c r="L264" s="92"/>
      <c r="M264" s="92">
        <v>537.678</v>
      </c>
      <c r="N264" s="92"/>
      <c r="O264" s="92">
        <v>506.454</v>
      </c>
      <c r="P264" s="92">
        <v>499.909</v>
      </c>
      <c r="Q264" s="92"/>
      <c r="R264" s="92">
        <v>640.412</v>
      </c>
    </row>
    <row r="265" spans="1:18" s="67" customFormat="1" ht="45" outlineLevel="1">
      <c r="A265" s="85" t="s">
        <v>549</v>
      </c>
      <c r="B265" s="86" t="s">
        <v>550</v>
      </c>
      <c r="C265" s="92">
        <v>230.323</v>
      </c>
      <c r="D265" s="92"/>
      <c r="E265" s="92"/>
      <c r="F265" s="92"/>
      <c r="G265" s="92"/>
      <c r="H265" s="92"/>
      <c r="I265" s="92"/>
      <c r="J265" s="92"/>
      <c r="K265" s="92"/>
      <c r="L265" s="92"/>
      <c r="M265" s="92">
        <v>255.16</v>
      </c>
      <c r="N265" s="92"/>
      <c r="O265" s="92">
        <v>254.743</v>
      </c>
      <c r="P265" s="92">
        <v>250.983</v>
      </c>
      <c r="Q265" s="92"/>
      <c r="R265" s="92">
        <v>288.088</v>
      </c>
    </row>
    <row r="266" spans="1:18" s="67" customFormat="1" ht="45" outlineLevel="1">
      <c r="A266" s="85" t="s">
        <v>551</v>
      </c>
      <c r="B266" s="86" t="s">
        <v>552</v>
      </c>
      <c r="C266" s="92">
        <v>1000.048</v>
      </c>
      <c r="D266" s="92"/>
      <c r="E266" s="92"/>
      <c r="F266" s="92"/>
      <c r="G266" s="92"/>
      <c r="H266" s="92"/>
      <c r="I266" s="92"/>
      <c r="J266" s="92"/>
      <c r="K266" s="92"/>
      <c r="L266" s="92"/>
      <c r="M266" s="92">
        <v>1395.961</v>
      </c>
      <c r="N266" s="92"/>
      <c r="O266" s="92">
        <v>1261.822</v>
      </c>
      <c r="P266" s="92">
        <v>1239.476</v>
      </c>
      <c r="Q266" s="92"/>
      <c r="R266" s="92">
        <v>1348.896</v>
      </c>
    </row>
    <row r="267" spans="1:18" s="67" customFormat="1" ht="11.25">
      <c r="A267" s="73" t="s">
        <v>553</v>
      </c>
      <c r="B267" s="84" t="s">
        <v>554</v>
      </c>
      <c r="C267" s="75">
        <f aca="true" t="shared" si="116" ref="C267:R267">SUM(C268:C272)</f>
        <v>2074.9629999999997</v>
      </c>
      <c r="D267" s="75">
        <f t="shared" si="116"/>
        <v>3273.326</v>
      </c>
      <c r="E267" s="75">
        <f t="shared" si="116"/>
        <v>3273.326</v>
      </c>
      <c r="F267" s="75">
        <f t="shared" si="116"/>
        <v>3273.326</v>
      </c>
      <c r="G267" s="75">
        <f t="shared" si="116"/>
        <v>3273.326</v>
      </c>
      <c r="H267" s="75">
        <f t="shared" si="116"/>
        <v>2335.734</v>
      </c>
      <c r="I267" s="75">
        <f t="shared" si="116"/>
        <v>8161.657</v>
      </c>
      <c r="J267" s="75">
        <f t="shared" si="116"/>
        <v>8161.657</v>
      </c>
      <c r="K267" s="75">
        <f t="shared" si="116"/>
        <v>8161.657</v>
      </c>
      <c r="L267" s="75">
        <f t="shared" si="116"/>
        <v>8161.657</v>
      </c>
      <c r="M267" s="75">
        <f t="shared" si="116"/>
        <v>2323.27</v>
      </c>
      <c r="N267" s="75">
        <f t="shared" si="116"/>
        <v>2358.79</v>
      </c>
      <c r="O267" s="75">
        <f t="shared" si="116"/>
        <v>2363.6</v>
      </c>
      <c r="P267" s="75">
        <f t="shared" si="116"/>
        <v>2344.946</v>
      </c>
      <c r="Q267" s="75">
        <f t="shared" si="116"/>
        <v>2133.88</v>
      </c>
      <c r="R267" s="75">
        <f t="shared" si="116"/>
        <v>2664.684</v>
      </c>
    </row>
    <row r="268" spans="1:18" s="67" customFormat="1" ht="33.75">
      <c r="A268" s="85" t="s">
        <v>555</v>
      </c>
      <c r="B268" s="86" t="s">
        <v>556</v>
      </c>
      <c r="C268" s="87">
        <v>498.694</v>
      </c>
      <c r="D268" s="87">
        <v>2274.96</v>
      </c>
      <c r="E268" s="87">
        <v>2274.96</v>
      </c>
      <c r="F268" s="87">
        <v>2274.96</v>
      </c>
      <c r="G268" s="87">
        <v>2274.96</v>
      </c>
      <c r="H268" s="87">
        <v>384.491</v>
      </c>
      <c r="I268" s="87">
        <v>7893</v>
      </c>
      <c r="J268" s="87">
        <v>7893</v>
      </c>
      <c r="K268" s="87">
        <v>7893</v>
      </c>
      <c r="L268" s="87">
        <v>7893</v>
      </c>
      <c r="M268" s="87">
        <v>356.84799999999996</v>
      </c>
      <c r="N268" s="87">
        <v>2023.5</v>
      </c>
      <c r="O268" s="87">
        <v>373.196</v>
      </c>
      <c r="P268" s="87">
        <v>370.346</v>
      </c>
      <c r="Q268" s="87">
        <v>356.85</v>
      </c>
      <c r="R268" s="87">
        <v>559.8</v>
      </c>
    </row>
    <row r="269" spans="1:18" s="67" customFormat="1" ht="22.5">
      <c r="A269" s="85" t="s">
        <v>557</v>
      </c>
      <c r="B269" s="86" t="s">
        <v>558</v>
      </c>
      <c r="C269" s="87">
        <v>938.659</v>
      </c>
      <c r="D269" s="87">
        <v>288.534</v>
      </c>
      <c r="E269" s="87">
        <v>288.534</v>
      </c>
      <c r="F269" s="87">
        <v>288.534</v>
      </c>
      <c r="G269" s="87">
        <v>288.534</v>
      </c>
      <c r="H269" s="87">
        <v>1616.536</v>
      </c>
      <c r="I269" s="87"/>
      <c r="J269" s="87"/>
      <c r="K269" s="87"/>
      <c r="L269" s="87"/>
      <c r="M269" s="87">
        <v>1633.09</v>
      </c>
      <c r="N269" s="87"/>
      <c r="O269" s="87">
        <v>1670.773</v>
      </c>
      <c r="P269" s="87">
        <v>1655.846</v>
      </c>
      <c r="Q269" s="87">
        <v>1765.03</v>
      </c>
      <c r="R269" s="87">
        <v>2092.884</v>
      </c>
    </row>
    <row r="270" spans="1:18" s="67" customFormat="1" ht="33.75">
      <c r="A270" s="166" t="s">
        <v>947</v>
      </c>
      <c r="B270" s="86" t="s">
        <v>948</v>
      </c>
      <c r="C270" s="87"/>
      <c r="D270" s="87"/>
      <c r="E270" s="87"/>
      <c r="F270" s="87"/>
      <c r="G270" s="87"/>
      <c r="H270" s="87"/>
      <c r="I270" s="87"/>
      <c r="J270" s="87"/>
      <c r="K270" s="87"/>
      <c r="L270" s="87"/>
      <c r="M270" s="87"/>
      <c r="N270" s="87"/>
      <c r="O270" s="87">
        <v>0.856</v>
      </c>
      <c r="P270" s="87">
        <v>0</v>
      </c>
      <c r="Q270" s="87"/>
      <c r="R270" s="87"/>
    </row>
    <row r="271" spans="1:18" s="67" customFormat="1" ht="22.5">
      <c r="A271" s="85" t="s">
        <v>559</v>
      </c>
      <c r="B271" s="86" t="s">
        <v>560</v>
      </c>
      <c r="C271" s="87">
        <v>308.321</v>
      </c>
      <c r="D271" s="87">
        <v>380.54</v>
      </c>
      <c r="E271" s="87">
        <v>380.54</v>
      </c>
      <c r="F271" s="87">
        <v>380.54</v>
      </c>
      <c r="G271" s="87">
        <v>380.54</v>
      </c>
      <c r="H271" s="87">
        <v>5.418</v>
      </c>
      <c r="I271" s="87">
        <v>66.48300000000005</v>
      </c>
      <c r="J271" s="87">
        <v>66.48300000000005</v>
      </c>
      <c r="K271" s="87">
        <v>66.48300000000005</v>
      </c>
      <c r="L271" s="87">
        <v>66.48300000000005</v>
      </c>
      <c r="M271" s="87">
        <v>5.680999999999999</v>
      </c>
      <c r="N271" s="87">
        <v>6.001000000000204</v>
      </c>
      <c r="O271" s="87">
        <v>1.69</v>
      </c>
      <c r="P271" s="87">
        <v>1.669</v>
      </c>
      <c r="Q271" s="87">
        <f>6-6</f>
        <v>0</v>
      </c>
      <c r="R271" s="87"/>
    </row>
    <row r="272" spans="1:18" s="67" customFormat="1" ht="11.25">
      <c r="A272" s="85" t="s">
        <v>561</v>
      </c>
      <c r="B272" s="86" t="s">
        <v>562</v>
      </c>
      <c r="C272" s="87">
        <v>329.289</v>
      </c>
      <c r="D272" s="87">
        <v>329.292</v>
      </c>
      <c r="E272" s="87">
        <v>329.292</v>
      </c>
      <c r="F272" s="87">
        <v>329.292</v>
      </c>
      <c r="G272" s="87">
        <v>329.292</v>
      </c>
      <c r="H272" s="87">
        <v>329.289</v>
      </c>
      <c r="I272" s="87">
        <v>202.174</v>
      </c>
      <c r="J272" s="87">
        <v>202.174</v>
      </c>
      <c r="K272" s="87">
        <v>202.174</v>
      </c>
      <c r="L272" s="87">
        <v>202.174</v>
      </c>
      <c r="M272" s="87">
        <v>327.651</v>
      </c>
      <c r="N272" s="87">
        <v>329.289</v>
      </c>
      <c r="O272" s="87">
        <v>317.085</v>
      </c>
      <c r="P272" s="87">
        <v>317.085</v>
      </c>
      <c r="Q272" s="87">
        <v>12</v>
      </c>
      <c r="R272" s="87">
        <v>12</v>
      </c>
    </row>
    <row r="273" spans="1:18" s="67" customFormat="1" ht="11.25">
      <c r="A273" s="73" t="s">
        <v>563</v>
      </c>
      <c r="B273" s="84" t="s">
        <v>564</v>
      </c>
      <c r="C273" s="75">
        <f aca="true" t="shared" si="117" ref="C273:Q273">SUM(C274:C279)</f>
        <v>27511.905</v>
      </c>
      <c r="D273" s="75">
        <f t="shared" si="117"/>
        <v>31173.32</v>
      </c>
      <c r="E273" s="75">
        <f t="shared" si="117"/>
        <v>31173.32</v>
      </c>
      <c r="F273" s="75">
        <f t="shared" si="117"/>
        <v>31173.32</v>
      </c>
      <c r="G273" s="75">
        <f t="shared" si="117"/>
        <v>31173.32</v>
      </c>
      <c r="H273" s="75">
        <f>SUM(H274:H279)</f>
        <v>38637.265</v>
      </c>
      <c r="I273" s="75">
        <f>SUM(I274:I279)</f>
        <v>26842.07493</v>
      </c>
      <c r="J273" s="75">
        <f t="shared" si="117"/>
        <v>26842.07493</v>
      </c>
      <c r="K273" s="75">
        <f t="shared" si="117"/>
        <v>26842.07493</v>
      </c>
      <c r="L273" s="75">
        <f t="shared" si="117"/>
        <v>26842.07493</v>
      </c>
      <c r="M273" s="75">
        <f>SUM(M274:M279)</f>
        <v>24849.317</v>
      </c>
      <c r="N273" s="75">
        <f t="shared" si="117"/>
        <v>38600.48157323963</v>
      </c>
      <c r="O273" s="75">
        <f>SUM(O274:O279)</f>
        <v>23573.29</v>
      </c>
      <c r="P273" s="75">
        <f>SUM(P274:P279)</f>
        <v>23115.060999999998</v>
      </c>
      <c r="Q273" s="75">
        <f t="shared" si="117"/>
        <v>21718.3508</v>
      </c>
      <c r="R273" s="75">
        <f>SUM(R274:R279)</f>
        <v>55923.492</v>
      </c>
    </row>
    <row r="274" spans="1:18" s="67" customFormat="1" ht="11.25" customHeight="1">
      <c r="A274" s="85" t="s">
        <v>565</v>
      </c>
      <c r="B274" s="86" t="s">
        <v>566</v>
      </c>
      <c r="C274" s="87">
        <v>217.653</v>
      </c>
      <c r="D274" s="87">
        <v>237.684</v>
      </c>
      <c r="E274" s="87">
        <v>237.684</v>
      </c>
      <c r="F274" s="87">
        <v>237.684</v>
      </c>
      <c r="G274" s="87">
        <v>237.684</v>
      </c>
      <c r="H274" s="87">
        <v>216.253</v>
      </c>
      <c r="I274" s="87">
        <v>221.059</v>
      </c>
      <c r="J274" s="87">
        <v>221.059</v>
      </c>
      <c r="K274" s="87">
        <v>221.059</v>
      </c>
      <c r="L274" s="87">
        <v>221.059</v>
      </c>
      <c r="M274" s="87">
        <v>216.39</v>
      </c>
      <c r="N274" s="87">
        <v>220.548</v>
      </c>
      <c r="O274" s="87">
        <v>219.966</v>
      </c>
      <c r="P274" s="87">
        <v>216.839</v>
      </c>
      <c r="Q274" s="87">
        <v>216.39</v>
      </c>
      <c r="R274" s="87">
        <v>215.211</v>
      </c>
    </row>
    <row r="275" spans="1:18" s="67" customFormat="1" ht="11.25">
      <c r="A275" s="85" t="s">
        <v>567</v>
      </c>
      <c r="B275" s="86" t="s">
        <v>568</v>
      </c>
      <c r="C275" s="87">
        <v>907.392</v>
      </c>
      <c r="D275" s="87">
        <v>1014.43</v>
      </c>
      <c r="E275" s="87">
        <v>1014.43</v>
      </c>
      <c r="F275" s="87">
        <v>1014.43</v>
      </c>
      <c r="G275" s="87">
        <v>1014.43</v>
      </c>
      <c r="H275" s="87">
        <v>1018.549</v>
      </c>
      <c r="I275" s="87">
        <v>1318.511</v>
      </c>
      <c r="J275" s="87">
        <v>1318.511</v>
      </c>
      <c r="K275" s="87">
        <v>1318.511</v>
      </c>
      <c r="L275" s="87">
        <v>1318.511</v>
      </c>
      <c r="M275" s="87">
        <v>1004.0120000000001</v>
      </c>
      <c r="N275" s="87">
        <v>1097.4280000000103</v>
      </c>
      <c r="O275" s="87">
        <v>1071.896</v>
      </c>
      <c r="P275" s="87">
        <v>1018.3510000000001</v>
      </c>
      <c r="Q275" s="87">
        <f>1164.47-3.159-96.1302+0.12</f>
        <v>1065.3007999999998</v>
      </c>
      <c r="R275" s="87">
        <v>1200.047</v>
      </c>
    </row>
    <row r="276" spans="1:18" s="67" customFormat="1" ht="11.25">
      <c r="A276" s="85" t="s">
        <v>569</v>
      </c>
      <c r="B276" s="86" t="s">
        <v>570</v>
      </c>
      <c r="C276" s="87">
        <v>26099.96</v>
      </c>
      <c r="D276" s="87">
        <v>29685.422</v>
      </c>
      <c r="E276" s="87">
        <v>29685.422</v>
      </c>
      <c r="F276" s="87">
        <v>29685.422</v>
      </c>
      <c r="G276" s="87">
        <v>29685.422</v>
      </c>
      <c r="H276" s="87">
        <v>37327.054</v>
      </c>
      <c r="I276" s="87">
        <v>25302.50493</v>
      </c>
      <c r="J276" s="87">
        <v>25302.50493</v>
      </c>
      <c r="K276" s="87">
        <v>25302.50493</v>
      </c>
      <c r="L276" s="87">
        <v>25302.50493</v>
      </c>
      <c r="M276" s="87">
        <v>23534.548</v>
      </c>
      <c r="N276" s="87">
        <v>36958.521573239625</v>
      </c>
      <c r="O276" s="87">
        <v>22162.814</v>
      </c>
      <c r="P276" s="87">
        <v>21766.331</v>
      </c>
      <c r="Q276" s="87">
        <v>20329.5</v>
      </c>
      <c r="R276" s="87">
        <v>54262.573</v>
      </c>
    </row>
    <row r="277" spans="1:18" s="67" customFormat="1" ht="33.75">
      <c r="A277" s="85" t="s">
        <v>571</v>
      </c>
      <c r="B277" s="86" t="s">
        <v>572</v>
      </c>
      <c r="C277" s="87">
        <v>75.46</v>
      </c>
      <c r="D277" s="87">
        <v>104.824</v>
      </c>
      <c r="E277" s="87">
        <v>104.824</v>
      </c>
      <c r="F277" s="87">
        <v>104.824</v>
      </c>
      <c r="G277" s="87">
        <v>104.824</v>
      </c>
      <c r="H277" s="87">
        <v>13.892</v>
      </c>
      <c r="I277" s="87"/>
      <c r="J277" s="87"/>
      <c r="K277" s="87"/>
      <c r="L277" s="87"/>
      <c r="M277" s="87">
        <v>7.2010000000000005</v>
      </c>
      <c r="N277" s="87">
        <v>140</v>
      </c>
      <c r="O277" s="87">
        <v>3.913</v>
      </c>
      <c r="P277" s="87">
        <v>3.838</v>
      </c>
      <c r="Q277" s="87">
        <v>7.2</v>
      </c>
      <c r="R277" s="87">
        <v>50.896</v>
      </c>
    </row>
    <row r="278" spans="1:18" s="67" customFormat="1" ht="22.5">
      <c r="A278" s="85" t="s">
        <v>573</v>
      </c>
      <c r="B278" s="86" t="s">
        <v>574</v>
      </c>
      <c r="C278" s="87">
        <v>126.616</v>
      </c>
      <c r="D278" s="87"/>
      <c r="E278" s="87"/>
      <c r="F278" s="87"/>
      <c r="G278" s="87"/>
      <c r="H278" s="87">
        <v>0</v>
      </c>
      <c r="I278" s="87"/>
      <c r="J278" s="87"/>
      <c r="K278" s="87"/>
      <c r="L278" s="87"/>
      <c r="M278" s="87"/>
      <c r="N278" s="87"/>
      <c r="O278" s="87">
        <v>0</v>
      </c>
      <c r="P278" s="87">
        <v>0</v>
      </c>
      <c r="Q278" s="87">
        <v>0</v>
      </c>
      <c r="R278" s="87"/>
    </row>
    <row r="279" spans="1:18" s="67" customFormat="1" ht="22.5">
      <c r="A279" s="85" t="s">
        <v>575</v>
      </c>
      <c r="B279" s="86" t="s">
        <v>576</v>
      </c>
      <c r="C279" s="87">
        <v>84.824</v>
      </c>
      <c r="D279" s="87">
        <v>130.96</v>
      </c>
      <c r="E279" s="87">
        <v>130.96</v>
      </c>
      <c r="F279" s="87">
        <v>130.96</v>
      </c>
      <c r="G279" s="87">
        <v>130.96</v>
      </c>
      <c r="H279" s="87">
        <v>61.517</v>
      </c>
      <c r="I279" s="87"/>
      <c r="J279" s="87"/>
      <c r="K279" s="87"/>
      <c r="L279" s="87"/>
      <c r="M279" s="87">
        <v>87.166</v>
      </c>
      <c r="N279" s="87">
        <v>183.984</v>
      </c>
      <c r="O279" s="87">
        <v>114.701</v>
      </c>
      <c r="P279" s="87">
        <v>109.702</v>
      </c>
      <c r="Q279" s="87">
        <v>99.96</v>
      </c>
      <c r="R279" s="87">
        <v>194.765</v>
      </c>
    </row>
    <row r="280" spans="1:18" s="67" customFormat="1" ht="11.25">
      <c r="A280" s="73" t="s">
        <v>577</v>
      </c>
      <c r="B280" s="84" t="s">
        <v>578</v>
      </c>
      <c r="C280" s="75">
        <f>SUM(C281:C286)</f>
        <v>188251.085</v>
      </c>
      <c r="D280" s="75">
        <v>188013.26</v>
      </c>
      <c r="E280" s="75">
        <v>188013.26</v>
      </c>
      <c r="F280" s="75">
        <v>188013.26</v>
      </c>
      <c r="G280" s="75">
        <v>188013.26</v>
      </c>
      <c r="H280" s="75">
        <f>SUM(H281:H286)</f>
        <v>207816.43399999998</v>
      </c>
      <c r="I280" s="75">
        <v>157573.517</v>
      </c>
      <c r="J280" s="75">
        <v>157573.517</v>
      </c>
      <c r="K280" s="75">
        <v>149315.697</v>
      </c>
      <c r="L280" s="75">
        <f>149315.697-14388.72</f>
        <v>134926.97699999998</v>
      </c>
      <c r="M280" s="75">
        <f>SUM(M281:M286)</f>
        <v>218023.64599999995</v>
      </c>
      <c r="N280" s="75">
        <f>55994.38531451-14704.17</f>
        <v>41290.21531451</v>
      </c>
      <c r="O280" s="75">
        <f>SUM(O281:O286)</f>
        <v>233974.255</v>
      </c>
      <c r="P280" s="75">
        <f>SUM(P281:P286)</f>
        <v>232966.31900000005</v>
      </c>
      <c r="Q280" s="75">
        <f>SUM(Q281:Q286)</f>
        <v>105507.795816609</v>
      </c>
      <c r="R280" s="75">
        <f>SUM(R281:R286)</f>
        <v>296638.93799999997</v>
      </c>
    </row>
    <row r="281" spans="1:18" s="67" customFormat="1" ht="11.25" customHeight="1">
      <c r="A281" s="85" t="s">
        <v>579</v>
      </c>
      <c r="B281" s="86" t="s">
        <v>580</v>
      </c>
      <c r="C281" s="92">
        <v>129.289</v>
      </c>
      <c r="D281" s="92"/>
      <c r="E281" s="92"/>
      <c r="F281" s="92"/>
      <c r="G281" s="92"/>
      <c r="H281" s="92">
        <v>214.582</v>
      </c>
      <c r="I281" s="92"/>
      <c r="J281" s="92"/>
      <c r="K281" s="92"/>
      <c r="L281" s="92"/>
      <c r="M281" s="92">
        <v>212.452</v>
      </c>
      <c r="N281" s="92"/>
      <c r="O281" s="92">
        <v>608.373</v>
      </c>
      <c r="P281" s="92">
        <v>608.374</v>
      </c>
      <c r="Q281" s="92">
        <f>P281</f>
        <v>608.374</v>
      </c>
      <c r="R281" s="92">
        <v>671.033</v>
      </c>
    </row>
    <row r="282" spans="1:18" s="67" customFormat="1" ht="22.5">
      <c r="A282" s="85" t="s">
        <v>581</v>
      </c>
      <c r="B282" s="86" t="s">
        <v>582</v>
      </c>
      <c r="C282" s="92">
        <v>109235.22</v>
      </c>
      <c r="D282" s="92"/>
      <c r="E282" s="92"/>
      <c r="F282" s="92"/>
      <c r="G282" s="92"/>
      <c r="H282" s="92">
        <v>127855.735</v>
      </c>
      <c r="I282" s="92"/>
      <c r="J282" s="92"/>
      <c r="K282" s="92"/>
      <c r="L282" s="92"/>
      <c r="M282" s="92">
        <v>139602.161</v>
      </c>
      <c r="N282" s="92"/>
      <c r="O282" s="92">
        <v>137821.241</v>
      </c>
      <c r="P282" s="92">
        <v>137821.241</v>
      </c>
      <c r="Q282" s="92">
        <f>105507.795816609-Q281</f>
        <v>104899.421816609</v>
      </c>
      <c r="R282" s="92">
        <v>179809.844</v>
      </c>
    </row>
    <row r="283" spans="1:18" s="67" customFormat="1" ht="22.5">
      <c r="A283" s="85" t="s">
        <v>583</v>
      </c>
      <c r="B283" s="86" t="s">
        <v>584</v>
      </c>
      <c r="C283" s="92">
        <v>6813.333</v>
      </c>
      <c r="D283" s="92"/>
      <c r="E283" s="92"/>
      <c r="F283" s="92"/>
      <c r="G283" s="92"/>
      <c r="H283" s="92">
        <v>6627.053</v>
      </c>
      <c r="I283" s="92"/>
      <c r="J283" s="92"/>
      <c r="K283" s="92"/>
      <c r="L283" s="92"/>
      <c r="M283" s="92">
        <v>6296.407999999999</v>
      </c>
      <c r="N283" s="92"/>
      <c r="O283" s="92">
        <v>6376.875</v>
      </c>
      <c r="P283" s="92">
        <v>6376.874</v>
      </c>
      <c r="Q283" s="92"/>
      <c r="R283" s="92">
        <v>6407.726</v>
      </c>
    </row>
    <row r="284" spans="1:18" s="67" customFormat="1" ht="22.5">
      <c r="A284" s="85" t="s">
        <v>585</v>
      </c>
      <c r="B284" s="86" t="s">
        <v>586</v>
      </c>
      <c r="C284" s="92">
        <v>27773.935</v>
      </c>
      <c r="D284" s="92"/>
      <c r="E284" s="92"/>
      <c r="F284" s="92"/>
      <c r="G284" s="92"/>
      <c r="H284" s="92">
        <v>28907.096</v>
      </c>
      <c r="I284" s="92"/>
      <c r="J284" s="92"/>
      <c r="K284" s="92"/>
      <c r="L284" s="92"/>
      <c r="M284" s="92">
        <v>28476.775</v>
      </c>
      <c r="N284" s="92"/>
      <c r="O284" s="92">
        <v>29160.82</v>
      </c>
      <c r="P284" s="92">
        <v>29160.82</v>
      </c>
      <c r="Q284" s="92"/>
      <c r="R284" s="92">
        <v>27045.546</v>
      </c>
    </row>
    <row r="285" spans="1:18" s="67" customFormat="1" ht="22.5">
      <c r="A285" s="85" t="s">
        <v>587</v>
      </c>
      <c r="B285" s="86" t="s">
        <v>588</v>
      </c>
      <c r="C285" s="92">
        <v>25272.604</v>
      </c>
      <c r="D285" s="92"/>
      <c r="E285" s="92"/>
      <c r="F285" s="92"/>
      <c r="G285" s="92"/>
      <c r="H285" s="92">
        <v>25182.119</v>
      </c>
      <c r="I285" s="92"/>
      <c r="J285" s="92"/>
      <c r="K285" s="92"/>
      <c r="L285" s="92"/>
      <c r="M285" s="92">
        <v>24546.672</v>
      </c>
      <c r="N285" s="92"/>
      <c r="O285" s="92">
        <v>23163.534</v>
      </c>
      <c r="P285" s="92">
        <v>23163.534</v>
      </c>
      <c r="Q285" s="92"/>
      <c r="R285" s="92">
        <v>48647.772</v>
      </c>
    </row>
    <row r="286" spans="1:18" s="67" customFormat="1" ht="11.25">
      <c r="A286" s="85" t="s">
        <v>589</v>
      </c>
      <c r="B286" s="86" t="s">
        <v>590</v>
      </c>
      <c r="C286" s="92">
        <v>19026.704</v>
      </c>
      <c r="D286" s="92"/>
      <c r="E286" s="92"/>
      <c r="F286" s="92"/>
      <c r="G286" s="92"/>
      <c r="H286" s="92">
        <v>19029.849</v>
      </c>
      <c r="I286" s="92"/>
      <c r="J286" s="92"/>
      <c r="K286" s="92"/>
      <c r="L286" s="92"/>
      <c r="M286" s="92">
        <v>18889.178</v>
      </c>
      <c r="N286" s="92"/>
      <c r="O286" s="92">
        <v>36843.412</v>
      </c>
      <c r="P286" s="92">
        <v>35835.476</v>
      </c>
      <c r="Q286" s="92"/>
      <c r="R286" s="92">
        <v>34057.017</v>
      </c>
    </row>
    <row r="287" spans="1:18" s="67" customFormat="1" ht="11.25">
      <c r="A287" s="85"/>
      <c r="B287" s="86"/>
      <c r="C287" s="92"/>
      <c r="D287" s="92"/>
      <c r="E287" s="92"/>
      <c r="F287" s="92"/>
      <c r="G287" s="92"/>
      <c r="H287" s="92"/>
      <c r="I287" s="92"/>
      <c r="J287" s="92"/>
      <c r="K287" s="92"/>
      <c r="L287" s="92"/>
      <c r="M287" s="92"/>
      <c r="N287" s="92"/>
      <c r="O287" s="92"/>
      <c r="P287" s="92"/>
      <c r="Q287" s="92"/>
      <c r="R287" s="92"/>
    </row>
    <row r="288" spans="1:18" s="67" customFormat="1" ht="11.25">
      <c r="A288" s="171" t="s">
        <v>591</v>
      </c>
      <c r="B288" s="105"/>
      <c r="C288" s="106">
        <f>4893.544+3908.512</f>
        <v>8802.056</v>
      </c>
      <c r="D288" s="106">
        <v>20704.91184</v>
      </c>
      <c r="E288" s="106">
        <v>20704.91184</v>
      </c>
      <c r="F288" s="106">
        <v>20704.91184</v>
      </c>
      <c r="G288" s="106">
        <v>20704.91184</v>
      </c>
      <c r="H288" s="106">
        <v>20173.26</v>
      </c>
      <c r="I288" s="106">
        <v>18810.03331</v>
      </c>
      <c r="J288" s="106">
        <v>18810.03331</v>
      </c>
      <c r="K288" s="106">
        <v>18810.03331</v>
      </c>
      <c r="L288" s="106">
        <v>18810.03331</v>
      </c>
      <c r="M288" s="106">
        <v>27659.401317353637</v>
      </c>
      <c r="N288" s="106">
        <v>25570.47005</v>
      </c>
      <c r="O288" s="106"/>
      <c r="P288" s="106"/>
      <c r="Q288" s="106">
        <v>0</v>
      </c>
      <c r="R288" s="106"/>
    </row>
    <row r="289" spans="1:18" s="67" customFormat="1" ht="11.25">
      <c r="A289" s="73" t="s">
        <v>592</v>
      </c>
      <c r="B289" s="74">
        <v>7</v>
      </c>
      <c r="C289" s="75">
        <f aca="true" t="shared" si="118" ref="C289:N289">SUM(C290:C294)</f>
        <v>767838.47542</v>
      </c>
      <c r="D289" s="75">
        <f t="shared" si="118"/>
        <v>0</v>
      </c>
      <c r="E289" s="75">
        <f t="shared" si="118"/>
        <v>0</v>
      </c>
      <c r="F289" s="75">
        <f>SUM(F290:F294)</f>
        <v>0</v>
      </c>
      <c r="G289" s="75">
        <f>SUM(G290:G294)</f>
        <v>0</v>
      </c>
      <c r="H289" s="75">
        <f t="shared" si="118"/>
        <v>669591.07242</v>
      </c>
      <c r="I289" s="75">
        <f t="shared" si="118"/>
        <v>0</v>
      </c>
      <c r="J289" s="75">
        <f t="shared" si="118"/>
        <v>0</v>
      </c>
      <c r="K289" s="75">
        <f>SUM(K290:K294)</f>
        <v>0</v>
      </c>
      <c r="L289" s="75">
        <f>SUM(L290:L294)</f>
        <v>0</v>
      </c>
      <c r="M289" s="75">
        <f>SUM(M290:M294)</f>
        <v>563936.2672199999</v>
      </c>
      <c r="N289" s="75">
        <f t="shared" si="118"/>
        <v>0</v>
      </c>
      <c r="O289" s="75">
        <v>35967.99618</v>
      </c>
      <c r="P289" s="75">
        <v>35792.78176</v>
      </c>
      <c r="Q289" s="75">
        <v>0</v>
      </c>
      <c r="R289" s="75">
        <v>198369.945</v>
      </c>
    </row>
    <row r="290" spans="1:18" s="67" customFormat="1" ht="11.25" customHeight="1">
      <c r="A290" s="85" t="s">
        <v>593</v>
      </c>
      <c r="B290" s="86" t="s">
        <v>594</v>
      </c>
      <c r="C290" s="92">
        <v>477182.03203</v>
      </c>
      <c r="D290" s="92"/>
      <c r="E290" s="92"/>
      <c r="F290" s="92"/>
      <c r="G290" s="92"/>
      <c r="H290" s="92">
        <v>499210.91841</v>
      </c>
      <c r="I290" s="92"/>
      <c r="J290" s="92"/>
      <c r="K290" s="92"/>
      <c r="L290" s="92"/>
      <c r="M290" s="92">
        <v>357249.52465</v>
      </c>
      <c r="N290" s="92"/>
      <c r="O290" s="92"/>
      <c r="P290" s="92"/>
      <c r="Q290" s="92"/>
      <c r="R290" s="92">
        <v>110955.17302</v>
      </c>
    </row>
    <row r="291" spans="1:18" s="67" customFormat="1" ht="22.5">
      <c r="A291" s="85" t="s">
        <v>949</v>
      </c>
      <c r="B291" s="86" t="s">
        <v>950</v>
      </c>
      <c r="C291" s="92"/>
      <c r="D291" s="92"/>
      <c r="E291" s="92"/>
      <c r="F291" s="92"/>
      <c r="G291" s="92"/>
      <c r="H291" s="92"/>
      <c r="I291" s="92"/>
      <c r="J291" s="92"/>
      <c r="K291" s="92"/>
      <c r="L291" s="92"/>
      <c r="M291" s="92"/>
      <c r="N291" s="92"/>
      <c r="O291" s="92"/>
      <c r="P291" s="92"/>
      <c r="Q291" s="92"/>
      <c r="R291" s="92">
        <v>18423.55968</v>
      </c>
    </row>
    <row r="292" spans="1:18" s="67" customFormat="1" ht="22.5">
      <c r="A292" s="85" t="s">
        <v>595</v>
      </c>
      <c r="B292" s="86" t="s">
        <v>596</v>
      </c>
      <c r="C292" s="92">
        <v>139458.74138</v>
      </c>
      <c r="D292" s="92"/>
      <c r="E292" s="92"/>
      <c r="F292" s="92"/>
      <c r="G292" s="92"/>
      <c r="H292" s="92">
        <v>15701.67142</v>
      </c>
      <c r="I292" s="92"/>
      <c r="J292" s="92"/>
      <c r="K292" s="92"/>
      <c r="L292" s="92"/>
      <c r="M292" s="92">
        <v>75792.43761</v>
      </c>
      <c r="N292" s="92"/>
      <c r="O292" s="92"/>
      <c r="P292" s="92"/>
      <c r="Q292" s="92"/>
      <c r="R292" s="92">
        <v>48978.06652</v>
      </c>
    </row>
    <row r="293" spans="1:18" s="67" customFormat="1" ht="22.5">
      <c r="A293" s="85" t="s">
        <v>597</v>
      </c>
      <c r="B293" s="86" t="s">
        <v>598</v>
      </c>
      <c r="C293" s="92">
        <v>150362.86677</v>
      </c>
      <c r="D293" s="92"/>
      <c r="E293" s="92"/>
      <c r="F293" s="92"/>
      <c r="G293" s="92"/>
      <c r="H293" s="92">
        <v>152964.19976</v>
      </c>
      <c r="I293" s="92"/>
      <c r="J293" s="92"/>
      <c r="K293" s="92"/>
      <c r="L293" s="92"/>
      <c r="M293" s="92">
        <v>129444.22516</v>
      </c>
      <c r="N293" s="92"/>
      <c r="O293" s="92"/>
      <c r="P293" s="92"/>
      <c r="Q293" s="92"/>
      <c r="R293" s="92">
        <v>20013.14545</v>
      </c>
    </row>
    <row r="294" spans="1:18" s="67" customFormat="1" ht="33.75">
      <c r="A294" s="85" t="s">
        <v>599</v>
      </c>
      <c r="B294" s="86" t="s">
        <v>600</v>
      </c>
      <c r="C294" s="92">
        <v>834.83524</v>
      </c>
      <c r="D294" s="92"/>
      <c r="E294" s="92"/>
      <c r="F294" s="92"/>
      <c r="G294" s="92"/>
      <c r="H294" s="92">
        <v>1714.28283</v>
      </c>
      <c r="I294" s="92"/>
      <c r="J294" s="92"/>
      <c r="K294" s="92"/>
      <c r="L294" s="92"/>
      <c r="M294" s="92">
        <v>1450.0798</v>
      </c>
      <c r="N294" s="92"/>
      <c r="O294" s="92"/>
      <c r="P294" s="92"/>
      <c r="Q294" s="92"/>
      <c r="R294" s="92"/>
    </row>
    <row r="295" spans="1:18" s="67" customFormat="1" ht="11.25">
      <c r="A295" s="85" t="s">
        <v>601</v>
      </c>
      <c r="B295" s="86"/>
      <c r="C295" s="92"/>
      <c r="D295" s="92"/>
      <c r="E295" s="92"/>
      <c r="F295" s="92"/>
      <c r="G295" s="92"/>
      <c r="H295" s="92"/>
      <c r="I295" s="92"/>
      <c r="J295" s="92"/>
      <c r="K295" s="92"/>
      <c r="L295" s="92"/>
      <c r="M295" s="92"/>
      <c r="N295" s="92"/>
      <c r="O295" s="92"/>
      <c r="P295" s="92"/>
      <c r="Q295" s="92"/>
      <c r="R295" s="92"/>
    </row>
    <row r="296" spans="1:18" s="67" customFormat="1" ht="48">
      <c r="A296" s="172" t="s">
        <v>887</v>
      </c>
      <c r="B296" s="107"/>
      <c r="C296" s="108"/>
      <c r="D296" s="108"/>
      <c r="E296" s="108"/>
      <c r="F296" s="108"/>
      <c r="G296" s="108"/>
      <c r="H296" s="108"/>
      <c r="I296" s="108"/>
      <c r="J296" s="108"/>
      <c r="K296" s="108"/>
      <c r="L296" s="108"/>
      <c r="M296" s="108"/>
      <c r="N296" s="108"/>
      <c r="O296" s="108"/>
      <c r="P296" s="108"/>
      <c r="Q296" s="108">
        <v>0</v>
      </c>
      <c r="R296" s="108"/>
    </row>
    <row r="297" spans="1:18" s="67" customFormat="1" ht="12">
      <c r="A297" s="173" t="s">
        <v>951</v>
      </c>
      <c r="B297" s="107"/>
      <c r="C297" s="108"/>
      <c r="D297" s="108"/>
      <c r="E297" s="108"/>
      <c r="F297" s="108"/>
      <c r="G297" s="108"/>
      <c r="H297" s="108"/>
      <c r="I297" s="108"/>
      <c r="J297" s="108"/>
      <c r="K297" s="108"/>
      <c r="L297" s="108"/>
      <c r="M297" s="108"/>
      <c r="N297" s="108"/>
      <c r="O297" s="108"/>
      <c r="P297" s="108"/>
      <c r="Q297" s="108">
        <v>0</v>
      </c>
      <c r="R297" s="108"/>
    </row>
    <row r="298" spans="1:18" s="67" customFormat="1" ht="12">
      <c r="A298" s="173" t="s">
        <v>952</v>
      </c>
      <c r="B298" s="107"/>
      <c r="C298" s="108"/>
      <c r="D298" s="108"/>
      <c r="E298" s="108"/>
      <c r="F298" s="108"/>
      <c r="G298" s="108"/>
      <c r="H298" s="108"/>
      <c r="I298" s="108"/>
      <c r="J298" s="108"/>
      <c r="K298" s="108"/>
      <c r="L298" s="108"/>
      <c r="M298" s="108"/>
      <c r="N298" s="108"/>
      <c r="O298" s="108"/>
      <c r="P298" s="108"/>
      <c r="Q298" s="108"/>
      <c r="R298" s="108"/>
    </row>
    <row r="299" spans="1:18" s="79" customFormat="1" ht="23.25" thickBot="1">
      <c r="A299" s="98" t="s">
        <v>953</v>
      </c>
      <c r="B299" s="109">
        <v>9</v>
      </c>
      <c r="C299" s="100">
        <f>SUM(C300,C302,C306,C310:C312,C316,C318:C319,C320,C326:C327,)+C371</f>
        <v>258260.94714000003</v>
      </c>
      <c r="D299" s="100">
        <f>SUM(D300,D302,D306,D310:D312,D316,D318:D319,D320,D326:D327,)+D371</f>
        <v>0</v>
      </c>
      <c r="E299" s="100">
        <f>SUM(E300,E302,E306,E310:E312,E316,E318:E319,E320,E326:E327,)+E371</f>
        <v>0</v>
      </c>
      <c r="F299" s="100">
        <f>SUM(F300,F302,F306,F310:F312,F316,F318:F319,F320,F326:F327,)+F371</f>
        <v>0</v>
      </c>
      <c r="G299" s="100">
        <f>SUM(G300,G302,G306,G310:G312,G316,G318:G319,G320,G326:G327,)</f>
        <v>0</v>
      </c>
      <c r="H299" s="100">
        <f>SUM(H300,H302,H306,H310:H312,H316,H318:H319,H320,H326:H327,)+H371</f>
        <v>91004.278119</v>
      </c>
      <c r="I299" s="100">
        <f>SUM(I300,I302,I306,I310:I312,I316,I318:I319,I320,I326:I327,)+I371</f>
        <v>0</v>
      </c>
      <c r="J299" s="100">
        <f>SUM(J300,J302,J306,J310:J312,J316,J318:J319,J320,J326:J327,)+J371</f>
        <v>0</v>
      </c>
      <c r="K299" s="100">
        <f>SUM(K300,K302,K306,K310:K312,K316,K318:K319,K320,K326:K327,)+K371</f>
        <v>0</v>
      </c>
      <c r="L299" s="100">
        <f>SUM(L300,L302,L306,L310:L312,L316,L318:L319,L320,L326:L327,)</f>
        <v>0</v>
      </c>
      <c r="M299" s="100">
        <f>SUM(M300,M302,M306,M310:M312,M316,M318:M319,M320,M326:M327,)+M371</f>
        <v>66127.84366999999</v>
      </c>
      <c r="N299" s="100">
        <f>SUM(N300,N302,N306,N310:N312,N316,N318:N319,N320,N326:N327,)+N371</f>
        <v>8564.8457252026</v>
      </c>
      <c r="O299" s="100">
        <f>SUM(O300,O302,O306,O310:O312,O316,O318:O319,O320,O326:O327,)+O371</f>
        <v>717066.3448399999</v>
      </c>
      <c r="P299" s="100">
        <f>SUM(P300,P302,P306,P310:P312,P316,P318:P319,P320,P326:P327,)+P371</f>
        <v>525273.48358</v>
      </c>
      <c r="Q299" s="100">
        <f>SUM(Q300,Q302,Q306,Q310:Q312,Q316,Q318:Q319,Q320,Q326:Q327,)</f>
        <v>0</v>
      </c>
      <c r="R299" s="100">
        <f>SUM(R300,R302,R306,R310:R312,R316,R318:R319,R320,R326:R327,)+R371</f>
        <v>36108.341700000004</v>
      </c>
    </row>
    <row r="300" spans="1:18" s="67" customFormat="1" ht="22.5">
      <c r="A300" s="70" t="s">
        <v>602</v>
      </c>
      <c r="B300" s="83" t="s">
        <v>603</v>
      </c>
      <c r="C300" s="72">
        <v>0</v>
      </c>
      <c r="D300" s="72"/>
      <c r="E300" s="72"/>
      <c r="F300" s="72"/>
      <c r="G300" s="72"/>
      <c r="H300" s="72">
        <v>0</v>
      </c>
      <c r="I300" s="72">
        <v>0</v>
      </c>
      <c r="J300" s="72">
        <v>0</v>
      </c>
      <c r="K300" s="72">
        <v>0</v>
      </c>
      <c r="L300" s="72">
        <v>0</v>
      </c>
      <c r="M300" s="72">
        <v>0</v>
      </c>
      <c r="N300" s="72">
        <v>0</v>
      </c>
      <c r="O300" s="72">
        <v>0</v>
      </c>
      <c r="P300" s="72">
        <v>0</v>
      </c>
      <c r="Q300" s="72"/>
      <c r="R300" s="72">
        <v>0</v>
      </c>
    </row>
    <row r="301" spans="1:18" s="67" customFormat="1" ht="11.25">
      <c r="A301" s="85" t="s">
        <v>604</v>
      </c>
      <c r="B301" s="86" t="s">
        <v>605</v>
      </c>
      <c r="C301" s="92">
        <v>0</v>
      </c>
      <c r="D301" s="92"/>
      <c r="E301" s="92"/>
      <c r="F301" s="92"/>
      <c r="G301" s="92"/>
      <c r="H301" s="92"/>
      <c r="I301" s="92"/>
      <c r="J301" s="92"/>
      <c r="K301" s="92"/>
      <c r="L301" s="92"/>
      <c r="M301" s="92"/>
      <c r="N301" s="92"/>
      <c r="O301" s="92"/>
      <c r="P301" s="92"/>
      <c r="Q301" s="92"/>
      <c r="R301" s="92"/>
    </row>
    <row r="302" spans="1:18" s="67" customFormat="1" ht="11.25">
      <c r="A302" s="73" t="s">
        <v>606</v>
      </c>
      <c r="B302" s="84" t="s">
        <v>607</v>
      </c>
      <c r="C302" s="75">
        <f aca="true" t="shared" si="119" ref="C302:J302">SUM(C303:C305)</f>
        <v>122.61873</v>
      </c>
      <c r="D302" s="75">
        <f t="shared" si="119"/>
        <v>0</v>
      </c>
      <c r="E302" s="75">
        <f t="shared" si="119"/>
        <v>0</v>
      </c>
      <c r="F302" s="75">
        <f>SUM(F303:F305)</f>
        <v>0</v>
      </c>
      <c r="G302" s="75">
        <f>SUM(G303:G303)</f>
        <v>0</v>
      </c>
      <c r="H302" s="75">
        <f t="shared" si="119"/>
        <v>8.84977</v>
      </c>
      <c r="I302" s="75">
        <f t="shared" si="119"/>
        <v>0</v>
      </c>
      <c r="J302" s="75">
        <f t="shared" si="119"/>
        <v>0</v>
      </c>
      <c r="K302" s="75">
        <f>SUM(K303:K305)</f>
        <v>0</v>
      </c>
      <c r="L302" s="75">
        <f>SUM(L303:L303)</f>
        <v>0</v>
      </c>
      <c r="M302" s="75">
        <f>SUM(M303:M305)</f>
        <v>6.6629</v>
      </c>
      <c r="N302" s="75">
        <f>SUM(N303:N305)</f>
        <v>9.5345652026</v>
      </c>
      <c r="O302" s="75">
        <f>SUM(O303:O305)</f>
        <v>521.4010000000001</v>
      </c>
      <c r="P302" s="75">
        <f>SUM(P303:P305)</f>
        <v>12.32282</v>
      </c>
      <c r="Q302" s="75"/>
      <c r="R302" s="75">
        <f>SUM(R303:R305)</f>
        <v>11.2</v>
      </c>
    </row>
    <row r="303" spans="1:18" s="67" customFormat="1" ht="22.5">
      <c r="A303" s="85" t="s">
        <v>608</v>
      </c>
      <c r="B303" s="86" t="s">
        <v>609</v>
      </c>
      <c r="C303" s="92">
        <v>122.61873</v>
      </c>
      <c r="D303" s="92"/>
      <c r="E303" s="92"/>
      <c r="F303" s="92"/>
      <c r="G303" s="92"/>
      <c r="H303" s="92">
        <v>8.84977</v>
      </c>
      <c r="I303" s="92"/>
      <c r="J303" s="92"/>
      <c r="K303" s="92"/>
      <c r="L303" s="92"/>
      <c r="M303" s="92">
        <v>6.6629</v>
      </c>
      <c r="N303" s="92">
        <v>9.5345652026</v>
      </c>
      <c r="O303" s="92">
        <v>131.567</v>
      </c>
      <c r="P303" s="92">
        <v>12.32282</v>
      </c>
      <c r="Q303" s="92"/>
      <c r="R303" s="92">
        <v>11.2</v>
      </c>
    </row>
    <row r="304" spans="1:18" s="67" customFormat="1" ht="11.25">
      <c r="A304" s="85"/>
      <c r="B304" s="86"/>
      <c r="C304" s="92"/>
      <c r="D304" s="92"/>
      <c r="E304" s="92"/>
      <c r="F304" s="92"/>
      <c r="G304" s="92"/>
      <c r="H304" s="92"/>
      <c r="I304" s="92"/>
      <c r="J304" s="92"/>
      <c r="K304" s="92"/>
      <c r="L304" s="92"/>
      <c r="M304" s="92"/>
      <c r="N304" s="92"/>
      <c r="O304" s="92"/>
      <c r="P304" s="92"/>
      <c r="Q304" s="92"/>
      <c r="R304" s="92"/>
    </row>
    <row r="305" spans="1:18" s="67" customFormat="1" ht="11.25">
      <c r="A305" s="85" t="s">
        <v>954</v>
      </c>
      <c r="B305" s="86" t="s">
        <v>955</v>
      </c>
      <c r="C305" s="92"/>
      <c r="D305" s="92"/>
      <c r="E305" s="92"/>
      <c r="F305" s="92"/>
      <c r="G305" s="92"/>
      <c r="H305" s="92"/>
      <c r="I305" s="92"/>
      <c r="J305" s="92"/>
      <c r="K305" s="92"/>
      <c r="L305" s="92"/>
      <c r="M305" s="92"/>
      <c r="N305" s="92"/>
      <c r="O305" s="92">
        <v>389.834</v>
      </c>
      <c r="P305" s="92">
        <v>0</v>
      </c>
      <c r="Q305" s="92"/>
      <c r="R305" s="92"/>
    </row>
    <row r="306" spans="1:18" s="67" customFormat="1" ht="11.25">
      <c r="A306" s="73" t="s">
        <v>610</v>
      </c>
      <c r="B306" s="84" t="s">
        <v>611</v>
      </c>
      <c r="C306" s="75">
        <f aca="true" t="shared" si="120" ref="C306:R306">SUM(C307:C309)</f>
        <v>206243.86196</v>
      </c>
      <c r="D306" s="75">
        <f t="shared" si="120"/>
        <v>0</v>
      </c>
      <c r="E306" s="75">
        <f t="shared" si="120"/>
        <v>0</v>
      </c>
      <c r="F306" s="75">
        <f t="shared" si="120"/>
        <v>0</v>
      </c>
      <c r="G306" s="75">
        <f t="shared" si="120"/>
        <v>0</v>
      </c>
      <c r="H306" s="75">
        <f t="shared" si="120"/>
        <v>55610.50287</v>
      </c>
      <c r="I306" s="75">
        <f t="shared" si="120"/>
        <v>0</v>
      </c>
      <c r="J306" s="75">
        <f t="shared" si="120"/>
        <v>0</v>
      </c>
      <c r="K306" s="75">
        <f t="shared" si="120"/>
        <v>0</v>
      </c>
      <c r="L306" s="75">
        <f t="shared" si="120"/>
        <v>0</v>
      </c>
      <c r="M306" s="75">
        <f t="shared" si="120"/>
        <v>16622.340409999997</v>
      </c>
      <c r="N306" s="75">
        <f t="shared" si="120"/>
        <v>5761.197</v>
      </c>
      <c r="O306" s="75">
        <f t="shared" si="120"/>
        <v>561522.9308399999</v>
      </c>
      <c r="P306" s="75">
        <f t="shared" si="120"/>
        <v>395577.84844</v>
      </c>
      <c r="Q306" s="75"/>
      <c r="R306" s="75">
        <f t="shared" si="120"/>
        <v>1175.31831</v>
      </c>
    </row>
    <row r="307" spans="1:18" s="67" customFormat="1" ht="11.25">
      <c r="A307" s="85" t="s">
        <v>612</v>
      </c>
      <c r="B307" s="86" t="s">
        <v>613</v>
      </c>
      <c r="C307" s="92">
        <v>205986.72026</v>
      </c>
      <c r="D307" s="92"/>
      <c r="E307" s="92"/>
      <c r="F307" s="92"/>
      <c r="G307" s="92"/>
      <c r="H307" s="92">
        <v>55364.21606</v>
      </c>
      <c r="I307" s="92"/>
      <c r="J307" s="92"/>
      <c r="K307" s="92"/>
      <c r="L307" s="92"/>
      <c r="M307" s="92">
        <v>16537.05148</v>
      </c>
      <c r="N307" s="92">
        <v>5761.197</v>
      </c>
      <c r="O307" s="92">
        <f>265699.596+289156.7475+6582.43534</f>
        <v>561438.7788399999</v>
      </c>
      <c r="P307" s="92">
        <v>395496.05097</v>
      </c>
      <c r="Q307" s="92"/>
      <c r="R307" s="92">
        <v>1175.31831</v>
      </c>
    </row>
    <row r="308" spans="1:18" s="67" customFormat="1" ht="11.25">
      <c r="A308" s="85"/>
      <c r="B308" s="86"/>
      <c r="C308" s="92"/>
      <c r="D308" s="92"/>
      <c r="E308" s="92"/>
      <c r="F308" s="92"/>
      <c r="G308" s="92"/>
      <c r="H308" s="92"/>
      <c r="I308" s="92"/>
      <c r="J308" s="92"/>
      <c r="K308" s="92"/>
      <c r="L308" s="92"/>
      <c r="M308" s="92"/>
      <c r="N308" s="92"/>
      <c r="O308" s="92"/>
      <c r="P308" s="92"/>
      <c r="Q308" s="92"/>
      <c r="R308" s="92"/>
    </row>
    <row r="309" spans="1:18" s="67" customFormat="1" ht="22.5">
      <c r="A309" s="85" t="s">
        <v>614</v>
      </c>
      <c r="B309" s="86" t="s">
        <v>615</v>
      </c>
      <c r="C309" s="92">
        <v>257.1417</v>
      </c>
      <c r="D309" s="92"/>
      <c r="E309" s="92"/>
      <c r="F309" s="92"/>
      <c r="G309" s="92"/>
      <c r="H309" s="92">
        <v>246.28681</v>
      </c>
      <c r="I309" s="92"/>
      <c r="J309" s="92"/>
      <c r="K309" s="92"/>
      <c r="L309" s="92"/>
      <c r="M309" s="92">
        <v>85.28893</v>
      </c>
      <c r="N309" s="92"/>
      <c r="O309" s="92">
        <v>84.152</v>
      </c>
      <c r="P309" s="92">
        <v>81.79747</v>
      </c>
      <c r="Q309" s="92"/>
      <c r="R309" s="92"/>
    </row>
    <row r="310" spans="1:18" s="67" customFormat="1" ht="22.5">
      <c r="A310" s="85" t="s">
        <v>616</v>
      </c>
      <c r="B310" s="86" t="s">
        <v>617</v>
      </c>
      <c r="C310" s="92">
        <v>342.97932</v>
      </c>
      <c r="D310" s="92"/>
      <c r="E310" s="92"/>
      <c r="F310" s="92"/>
      <c r="G310" s="92"/>
      <c r="H310" s="92">
        <v>265.56466</v>
      </c>
      <c r="I310" s="92"/>
      <c r="J310" s="92"/>
      <c r="K310" s="92"/>
      <c r="L310" s="92"/>
      <c r="M310" s="92"/>
      <c r="N310" s="92"/>
      <c r="O310" s="92"/>
      <c r="P310" s="92"/>
      <c r="Q310" s="92"/>
      <c r="R310" s="92"/>
    </row>
    <row r="311" spans="1:18" s="67" customFormat="1" ht="11.25">
      <c r="A311" s="85" t="s">
        <v>888</v>
      </c>
      <c r="B311" s="86" t="s">
        <v>889</v>
      </c>
      <c r="C311" s="92"/>
      <c r="D311" s="92"/>
      <c r="E311" s="92"/>
      <c r="F311" s="92"/>
      <c r="G311" s="92"/>
      <c r="H311" s="92"/>
      <c r="I311" s="92"/>
      <c r="J311" s="92"/>
      <c r="K311" s="92"/>
      <c r="L311" s="92"/>
      <c r="M311" s="92">
        <v>157.28396</v>
      </c>
      <c r="N311" s="92"/>
      <c r="O311" s="92"/>
      <c r="P311" s="92"/>
      <c r="Q311" s="92"/>
      <c r="R311" s="92"/>
    </row>
    <row r="312" spans="1:18" s="67" customFormat="1" ht="11.25">
      <c r="A312" s="73" t="s">
        <v>618</v>
      </c>
      <c r="B312" s="84" t="s">
        <v>619</v>
      </c>
      <c r="C312" s="75">
        <f aca="true" t="shared" si="121" ref="C312:R312">SUM(C313:C314)</f>
        <v>42.6003</v>
      </c>
      <c r="D312" s="75">
        <f t="shared" si="121"/>
        <v>0</v>
      </c>
      <c r="E312" s="75">
        <f t="shared" si="121"/>
        <v>0</v>
      </c>
      <c r="F312" s="75">
        <f t="shared" si="121"/>
        <v>0</v>
      </c>
      <c r="G312" s="75">
        <f t="shared" si="121"/>
        <v>0</v>
      </c>
      <c r="H312" s="75">
        <f t="shared" si="121"/>
        <v>26.2</v>
      </c>
      <c r="I312" s="75">
        <f t="shared" si="121"/>
        <v>0</v>
      </c>
      <c r="J312" s="75">
        <f t="shared" si="121"/>
        <v>0</v>
      </c>
      <c r="K312" s="75">
        <f t="shared" si="121"/>
        <v>0</v>
      </c>
      <c r="L312" s="75">
        <f t="shared" si="121"/>
        <v>0</v>
      </c>
      <c r="M312" s="75">
        <f t="shared" si="121"/>
        <v>27.3875</v>
      </c>
      <c r="N312" s="75">
        <f t="shared" si="121"/>
        <v>0</v>
      </c>
      <c r="O312" s="75">
        <f t="shared" si="121"/>
        <v>3550.12</v>
      </c>
      <c r="P312" s="75">
        <f t="shared" si="121"/>
        <v>3550.11986</v>
      </c>
      <c r="Q312" s="75"/>
      <c r="R312" s="75">
        <f t="shared" si="121"/>
        <v>2160.4884</v>
      </c>
    </row>
    <row r="313" spans="1:18" s="67" customFormat="1" ht="22.5">
      <c r="A313" s="85" t="s">
        <v>620</v>
      </c>
      <c r="B313" s="86" t="s">
        <v>621</v>
      </c>
      <c r="C313" s="92">
        <v>42.6003</v>
      </c>
      <c r="D313" s="92"/>
      <c r="E313" s="92"/>
      <c r="F313" s="92"/>
      <c r="G313" s="92"/>
      <c r="H313" s="92">
        <v>26.2</v>
      </c>
      <c r="I313" s="92"/>
      <c r="J313" s="92"/>
      <c r="K313" s="92"/>
      <c r="L313" s="92"/>
      <c r="M313" s="92">
        <v>27.3875</v>
      </c>
      <c r="N313" s="92"/>
      <c r="O313" s="92">
        <v>3550.12</v>
      </c>
      <c r="P313" s="92">
        <v>3550.11986</v>
      </c>
      <c r="Q313" s="92"/>
      <c r="R313" s="92">
        <v>2160.4884</v>
      </c>
    </row>
    <row r="314" spans="1:18" s="67" customFormat="1" ht="33.75">
      <c r="A314" s="85" t="s">
        <v>622</v>
      </c>
      <c r="B314" s="86" t="s">
        <v>623</v>
      </c>
      <c r="C314" s="92"/>
      <c r="D314" s="92"/>
      <c r="E314" s="92"/>
      <c r="F314" s="92"/>
      <c r="G314" s="92"/>
      <c r="H314" s="92"/>
      <c r="I314" s="92"/>
      <c r="J314" s="92"/>
      <c r="K314" s="92"/>
      <c r="L314" s="92"/>
      <c r="M314" s="92"/>
      <c r="N314" s="92"/>
      <c r="O314" s="92"/>
      <c r="P314" s="92"/>
      <c r="Q314" s="92"/>
      <c r="R314" s="92"/>
    </row>
    <row r="315" spans="1:18" s="67" customFormat="1" ht="22.5">
      <c r="A315" s="85" t="s">
        <v>624</v>
      </c>
      <c r="B315" s="86"/>
      <c r="C315" s="92"/>
      <c r="D315" s="92"/>
      <c r="E315" s="92"/>
      <c r="F315" s="92"/>
      <c r="G315" s="92"/>
      <c r="H315" s="92"/>
      <c r="I315" s="92"/>
      <c r="J315" s="92"/>
      <c r="K315" s="92"/>
      <c r="L315" s="92"/>
      <c r="M315" s="92"/>
      <c r="N315" s="92"/>
      <c r="O315" s="92"/>
      <c r="P315" s="92"/>
      <c r="Q315" s="92"/>
      <c r="R315" s="92"/>
    </row>
    <row r="316" spans="1:18" s="67" customFormat="1" ht="33.75">
      <c r="A316" s="73" t="s">
        <v>625</v>
      </c>
      <c r="B316" s="84" t="s">
        <v>626</v>
      </c>
      <c r="C316" s="75">
        <f aca="true" t="shared" si="122" ref="C316:R316">C317</f>
        <v>1211.68641</v>
      </c>
      <c r="D316" s="75">
        <f t="shared" si="122"/>
        <v>0</v>
      </c>
      <c r="E316" s="75">
        <f t="shared" si="122"/>
        <v>0</v>
      </c>
      <c r="F316" s="75">
        <f t="shared" si="122"/>
        <v>0</v>
      </c>
      <c r="G316" s="75">
        <f t="shared" si="122"/>
        <v>0</v>
      </c>
      <c r="H316" s="75">
        <f t="shared" si="122"/>
        <v>1838.45897</v>
      </c>
      <c r="I316" s="75">
        <f t="shared" si="122"/>
        <v>0</v>
      </c>
      <c r="J316" s="75">
        <f t="shared" si="122"/>
        <v>0</v>
      </c>
      <c r="K316" s="75">
        <f t="shared" si="122"/>
        <v>0</v>
      </c>
      <c r="L316" s="75">
        <f t="shared" si="122"/>
        <v>0</v>
      </c>
      <c r="M316" s="75">
        <f t="shared" si="122"/>
        <v>41.71373</v>
      </c>
      <c r="N316" s="75">
        <f t="shared" si="122"/>
        <v>0</v>
      </c>
      <c r="O316" s="75">
        <f t="shared" si="122"/>
        <v>485.853</v>
      </c>
      <c r="P316" s="75">
        <f t="shared" si="122"/>
        <v>379.15825</v>
      </c>
      <c r="Q316" s="75"/>
      <c r="R316" s="75">
        <f t="shared" si="122"/>
        <v>1207.6364</v>
      </c>
    </row>
    <row r="317" spans="1:18" s="67" customFormat="1" ht="22.5">
      <c r="A317" s="85" t="s">
        <v>627</v>
      </c>
      <c r="B317" s="86" t="s">
        <v>628</v>
      </c>
      <c r="C317" s="92">
        <v>1211.68641</v>
      </c>
      <c r="D317" s="92"/>
      <c r="E317" s="92"/>
      <c r="F317" s="92"/>
      <c r="G317" s="92"/>
      <c r="H317" s="92">
        <v>1838.45897</v>
      </c>
      <c r="I317" s="92"/>
      <c r="J317" s="92"/>
      <c r="K317" s="92"/>
      <c r="L317" s="92"/>
      <c r="M317" s="92">
        <v>41.71373</v>
      </c>
      <c r="N317" s="92"/>
      <c r="O317" s="92">
        <v>485.853</v>
      </c>
      <c r="P317" s="92">
        <v>379.15825</v>
      </c>
      <c r="Q317" s="92"/>
      <c r="R317" s="92">
        <v>1207.6364</v>
      </c>
    </row>
    <row r="318" spans="1:18" s="67" customFormat="1" ht="22.5">
      <c r="A318" s="85" t="s">
        <v>629</v>
      </c>
      <c r="B318" s="86" t="s">
        <v>630</v>
      </c>
      <c r="C318" s="92">
        <v>1250.72135</v>
      </c>
      <c r="D318" s="92"/>
      <c r="E318" s="92"/>
      <c r="F318" s="92"/>
      <c r="G318" s="92"/>
      <c r="H318" s="92">
        <v>1.91727</v>
      </c>
      <c r="I318" s="92"/>
      <c r="J318" s="92"/>
      <c r="K318" s="92"/>
      <c r="L318" s="92"/>
      <c r="M318" s="92">
        <v>8822.16469</v>
      </c>
      <c r="N318" s="92"/>
      <c r="O318" s="92">
        <v>17063.052</v>
      </c>
      <c r="P318" s="92">
        <v>2539.25783</v>
      </c>
      <c r="Q318" s="92"/>
      <c r="R318" s="92"/>
    </row>
    <row r="319" spans="1:18" s="67" customFormat="1" ht="11.25">
      <c r="A319" s="85" t="s">
        <v>631</v>
      </c>
      <c r="B319" s="86" t="s">
        <v>632</v>
      </c>
      <c r="C319" s="92">
        <v>0.03473</v>
      </c>
      <c r="D319" s="92"/>
      <c r="E319" s="92"/>
      <c r="F319" s="92"/>
      <c r="G319" s="92"/>
      <c r="H319" s="92">
        <v>0.25857</v>
      </c>
      <c r="I319" s="92"/>
      <c r="J319" s="92"/>
      <c r="K319" s="92"/>
      <c r="L319" s="92"/>
      <c r="M319" s="92">
        <v>0.11698</v>
      </c>
      <c r="N319" s="92"/>
      <c r="O319" s="92">
        <v>0.022</v>
      </c>
      <c r="P319" s="92">
        <v>0.02204</v>
      </c>
      <c r="Q319" s="92"/>
      <c r="R319" s="92"/>
    </row>
    <row r="320" spans="1:18" s="67" customFormat="1" ht="22.5">
      <c r="A320" s="73" t="s">
        <v>633</v>
      </c>
      <c r="B320" s="84" t="s">
        <v>634</v>
      </c>
      <c r="C320" s="75">
        <f aca="true" t="shared" si="123" ref="C320:R320">SUM(C321:C325)</f>
        <v>2680.583</v>
      </c>
      <c r="D320" s="75">
        <f t="shared" si="123"/>
        <v>0</v>
      </c>
      <c r="E320" s="75">
        <f t="shared" si="123"/>
        <v>0</v>
      </c>
      <c r="F320" s="75">
        <f t="shared" si="123"/>
        <v>0</v>
      </c>
      <c r="G320" s="75">
        <f t="shared" si="123"/>
        <v>0</v>
      </c>
      <c r="H320" s="75">
        <f t="shared" si="123"/>
        <v>3513.0530400000002</v>
      </c>
      <c r="I320" s="75">
        <f t="shared" si="123"/>
        <v>0</v>
      </c>
      <c r="J320" s="75">
        <f t="shared" si="123"/>
        <v>0</v>
      </c>
      <c r="K320" s="75">
        <f t="shared" si="123"/>
        <v>0</v>
      </c>
      <c r="L320" s="75">
        <f t="shared" si="123"/>
        <v>0</v>
      </c>
      <c r="M320" s="75">
        <f t="shared" si="123"/>
        <v>4842.387290000001</v>
      </c>
      <c r="N320" s="75">
        <f t="shared" si="123"/>
        <v>1267.74</v>
      </c>
      <c r="O320" s="75">
        <f t="shared" si="123"/>
        <v>4738.25</v>
      </c>
      <c r="P320" s="75">
        <f t="shared" si="123"/>
        <v>4680.49782</v>
      </c>
      <c r="Q320" s="75"/>
      <c r="R320" s="75">
        <f t="shared" si="123"/>
        <v>3805.20603</v>
      </c>
    </row>
    <row r="321" spans="1:18" s="67" customFormat="1" ht="22.5">
      <c r="A321" s="85" t="s">
        <v>635</v>
      </c>
      <c r="B321" s="86" t="s">
        <v>636</v>
      </c>
      <c r="C321" s="92">
        <v>262.56397</v>
      </c>
      <c r="D321" s="92"/>
      <c r="E321" s="92"/>
      <c r="F321" s="92"/>
      <c r="G321" s="92"/>
      <c r="H321" s="92">
        <v>285.35834</v>
      </c>
      <c r="I321" s="92"/>
      <c r="J321" s="92"/>
      <c r="K321" s="92"/>
      <c r="L321" s="92"/>
      <c r="M321" s="92">
        <v>495.48565</v>
      </c>
      <c r="N321" s="92">
        <v>179.18</v>
      </c>
      <c r="O321" s="92"/>
      <c r="P321" s="92"/>
      <c r="Q321" s="92"/>
      <c r="R321" s="92">
        <v>245.67615</v>
      </c>
    </row>
    <row r="322" spans="1:18" s="67" customFormat="1" ht="22.5">
      <c r="A322" s="85" t="s">
        <v>637</v>
      </c>
      <c r="B322" s="86" t="s">
        <v>638</v>
      </c>
      <c r="C322" s="92">
        <v>30.20999</v>
      </c>
      <c r="D322" s="92"/>
      <c r="E322" s="92"/>
      <c r="F322" s="92"/>
      <c r="G322" s="92"/>
      <c r="H322" s="92">
        <v>283.93787</v>
      </c>
      <c r="I322" s="92"/>
      <c r="J322" s="92"/>
      <c r="K322" s="92"/>
      <c r="L322" s="92"/>
      <c r="M322" s="92">
        <v>246.75783</v>
      </c>
      <c r="N322" s="92">
        <v>305.91</v>
      </c>
      <c r="O322" s="92">
        <v>85.711</v>
      </c>
      <c r="P322" s="92">
        <v>84.79141</v>
      </c>
      <c r="Q322" s="92"/>
      <c r="R322" s="92">
        <v>338.82836</v>
      </c>
    </row>
    <row r="323" spans="1:18" s="67" customFormat="1" ht="22.5">
      <c r="A323" s="85" t="s">
        <v>639</v>
      </c>
      <c r="B323" s="86" t="s">
        <v>640</v>
      </c>
      <c r="C323" s="92">
        <v>1340.68457</v>
      </c>
      <c r="D323" s="92"/>
      <c r="E323" s="92"/>
      <c r="F323" s="92"/>
      <c r="G323" s="92"/>
      <c r="H323" s="92">
        <v>1970.31798</v>
      </c>
      <c r="I323" s="92"/>
      <c r="J323" s="92"/>
      <c r="K323" s="92"/>
      <c r="L323" s="92"/>
      <c r="M323" s="92">
        <v>2818.29842</v>
      </c>
      <c r="N323" s="92">
        <v>0</v>
      </c>
      <c r="O323" s="92">
        <v>3556.225</v>
      </c>
      <c r="P323" s="92">
        <v>3513.87907</v>
      </c>
      <c r="Q323" s="92"/>
      <c r="R323" s="92">
        <v>1919.45319</v>
      </c>
    </row>
    <row r="324" spans="1:18" s="67" customFormat="1" ht="22.5">
      <c r="A324" s="85" t="s">
        <v>641</v>
      </c>
      <c r="B324" s="86" t="s">
        <v>642</v>
      </c>
      <c r="C324" s="92">
        <v>399.14876</v>
      </c>
      <c r="D324" s="92"/>
      <c r="E324" s="92"/>
      <c r="F324" s="92"/>
      <c r="G324" s="92"/>
      <c r="H324" s="92">
        <v>247.0011</v>
      </c>
      <c r="I324" s="92"/>
      <c r="J324" s="92"/>
      <c r="K324" s="92"/>
      <c r="L324" s="92"/>
      <c r="M324" s="92">
        <v>436.58048</v>
      </c>
      <c r="N324" s="92">
        <v>0</v>
      </c>
      <c r="O324" s="92">
        <v>131.358</v>
      </c>
      <c r="P324" s="92">
        <v>129.62255</v>
      </c>
      <c r="Q324" s="92"/>
      <c r="R324" s="92">
        <v>226.41518</v>
      </c>
    </row>
    <row r="325" spans="1:18" s="67" customFormat="1" ht="11.25">
      <c r="A325" s="85" t="s">
        <v>643</v>
      </c>
      <c r="B325" s="86" t="s">
        <v>644</v>
      </c>
      <c r="C325" s="92">
        <v>647.97571</v>
      </c>
      <c r="D325" s="92"/>
      <c r="E325" s="92"/>
      <c r="F325" s="92"/>
      <c r="G325" s="92"/>
      <c r="H325" s="92">
        <v>726.43775</v>
      </c>
      <c r="I325" s="92"/>
      <c r="J325" s="92"/>
      <c r="K325" s="92"/>
      <c r="L325" s="92"/>
      <c r="M325" s="92">
        <v>845.26491</v>
      </c>
      <c r="N325" s="92">
        <v>782.65</v>
      </c>
      <c r="O325" s="92">
        <v>964.956</v>
      </c>
      <c r="P325" s="92">
        <v>952.20479</v>
      </c>
      <c r="Q325" s="92"/>
      <c r="R325" s="92">
        <v>1074.83315</v>
      </c>
    </row>
    <row r="326" spans="1:18" s="67" customFormat="1" ht="22.5">
      <c r="A326" s="85" t="s">
        <v>645</v>
      </c>
      <c r="B326" s="86" t="s">
        <v>646</v>
      </c>
      <c r="C326" s="92">
        <v>6484.78654</v>
      </c>
      <c r="D326" s="92"/>
      <c r="E326" s="92"/>
      <c r="F326" s="92"/>
      <c r="G326" s="92"/>
      <c r="H326" s="92">
        <v>8624.99805</v>
      </c>
      <c r="I326" s="92"/>
      <c r="J326" s="92"/>
      <c r="K326" s="92"/>
      <c r="L326" s="92"/>
      <c r="M326" s="92">
        <v>7721.89415</v>
      </c>
      <c r="N326" s="92">
        <v>0</v>
      </c>
      <c r="O326" s="92">
        <v>10789.593</v>
      </c>
      <c r="P326" s="92">
        <v>10442.90525</v>
      </c>
      <c r="Q326" s="92"/>
      <c r="R326" s="92">
        <v>8835.34309</v>
      </c>
    </row>
    <row r="327" spans="1:18" s="67" customFormat="1" ht="11.25">
      <c r="A327" s="73" t="s">
        <v>647</v>
      </c>
      <c r="B327" s="84" t="s">
        <v>648</v>
      </c>
      <c r="C327" s="75">
        <f>SUM(C328:C330,C333,C341:C354,C360,C362:C363)+C366+C370+C368</f>
        <v>39881.0748</v>
      </c>
      <c r="D327" s="75">
        <f>SUM(D328:D330,D333,D341:D354,D360,D362:D363)+D366+D370+D368</f>
        <v>0</v>
      </c>
      <c r="E327" s="75">
        <f>SUM(E328:E330,E333,E341:E354,E360,E362:E363)+E366+E370+E368</f>
        <v>0</v>
      </c>
      <c r="F327" s="75">
        <f>SUM(F328:F330,F333,F341:F354,F360,F362:F363)+F366+F370+F368</f>
        <v>0</v>
      </c>
      <c r="G327" s="75">
        <f>SUM(G328:G330,G333,G341:G354,G360,G362:G368)</f>
        <v>0</v>
      </c>
      <c r="H327" s="75">
        <f>SUM(H328:H330,H333,H341:H354,H360,H362:H363)+H366+H370+H368</f>
        <v>21114.474919000004</v>
      </c>
      <c r="I327" s="75">
        <f>SUM(I328:I330,I333,I341:I354,I360,I362:I363)+I366+I370+I368</f>
        <v>0</v>
      </c>
      <c r="J327" s="75">
        <f>SUM(J328:J330,J333,J341:J354,J360,J362:J363)+J366+J370+J368</f>
        <v>0</v>
      </c>
      <c r="K327" s="75">
        <f>SUM(K328:K330,K333,K341:K354,K360,K362:K363)+K366+K370+K368</f>
        <v>0</v>
      </c>
      <c r="L327" s="75">
        <f>SUM(L328:L330,L333,L341:L354,L360,L362:L368)</f>
        <v>0</v>
      </c>
      <c r="M327" s="75">
        <f>SUM(M328:M330,M333,M341:M354,M360,M362:M363)+M366+M370+M368</f>
        <v>27846.93047999999</v>
      </c>
      <c r="N327" s="75">
        <f>SUM(N328:N330,N333,N341:N354,N360,N362:N363)+N366+N370+N368+N367+N369</f>
        <v>1526.3741600000003</v>
      </c>
      <c r="O327" s="75">
        <f>SUM(O328:O330,O333,O341:O354,O360,O362:O363)+O366+O370+O368+O367+O369</f>
        <v>118395.123</v>
      </c>
      <c r="P327" s="75">
        <f>SUM(P328:P330,P333,P341:P354,P360,P362:P363)+P366+P370+P368+P367+P369</f>
        <v>108091.35127000001</v>
      </c>
      <c r="Q327" s="75">
        <f>SUM(Q328:Q330,Q333,Q341:Q354,Q360,Q362:Q363)+Q366+Q370+Q368+Q367+Q369</f>
        <v>0</v>
      </c>
      <c r="R327" s="75">
        <f>SUM(R328:R330,R333,R341:R354,R360,R362:R363)+R366+R370+R368+R367+R369</f>
        <v>18913.14947</v>
      </c>
    </row>
    <row r="328" spans="1:18" s="67" customFormat="1" ht="11.25">
      <c r="A328" s="85" t="s">
        <v>649</v>
      </c>
      <c r="B328" s="86" t="s">
        <v>650</v>
      </c>
      <c r="C328" s="92">
        <v>515.49941</v>
      </c>
      <c r="D328" s="92"/>
      <c r="E328" s="92"/>
      <c r="F328" s="92"/>
      <c r="G328" s="92"/>
      <c r="H328" s="92">
        <v>221.795579</v>
      </c>
      <c r="I328" s="92"/>
      <c r="J328" s="92"/>
      <c r="K328" s="92"/>
      <c r="L328" s="92"/>
      <c r="M328" s="92">
        <v>1212.19281</v>
      </c>
      <c r="N328" s="92"/>
      <c r="O328" s="92">
        <v>1004.57</v>
      </c>
      <c r="P328" s="92">
        <v>897.82562</v>
      </c>
      <c r="Q328" s="92"/>
      <c r="R328" s="92">
        <v>1310.4</v>
      </c>
    </row>
    <row r="329" spans="1:18" s="67" customFormat="1" ht="11.25">
      <c r="A329" s="85" t="s">
        <v>890</v>
      </c>
      <c r="B329" s="86" t="s">
        <v>956</v>
      </c>
      <c r="C329" s="92"/>
      <c r="D329" s="92"/>
      <c r="E329" s="92"/>
      <c r="F329" s="92"/>
      <c r="G329" s="92"/>
      <c r="H329" s="92"/>
      <c r="I329" s="92"/>
      <c r="J329" s="92"/>
      <c r="K329" s="92"/>
      <c r="L329" s="92"/>
      <c r="M329" s="92">
        <v>1.71839</v>
      </c>
      <c r="N329" s="92"/>
      <c r="O329" s="92">
        <v>0.221</v>
      </c>
      <c r="P329" s="92"/>
      <c r="Q329" s="92"/>
      <c r="R329" s="92"/>
    </row>
    <row r="330" spans="1:18" s="67" customFormat="1" ht="11.25">
      <c r="A330" s="73" t="s">
        <v>651</v>
      </c>
      <c r="B330" s="84" t="s">
        <v>652</v>
      </c>
      <c r="C330" s="75">
        <f>SUM(C331:C332)</f>
        <v>27991.0836</v>
      </c>
      <c r="D330" s="75">
        <f aca="true" t="shared" si="124" ref="D330:R330">SUM(D331:D332)</f>
        <v>0</v>
      </c>
      <c r="E330" s="75">
        <f t="shared" si="124"/>
        <v>0</v>
      </c>
      <c r="F330" s="75">
        <f t="shared" si="124"/>
        <v>0</v>
      </c>
      <c r="G330" s="75">
        <f>G331</f>
        <v>0</v>
      </c>
      <c r="H330" s="75">
        <f t="shared" si="124"/>
        <v>9959.77864</v>
      </c>
      <c r="I330" s="75">
        <f t="shared" si="124"/>
        <v>0</v>
      </c>
      <c r="J330" s="75">
        <f t="shared" si="124"/>
        <v>0</v>
      </c>
      <c r="K330" s="75">
        <f t="shared" si="124"/>
        <v>0</v>
      </c>
      <c r="L330" s="75">
        <f>L331</f>
        <v>0</v>
      </c>
      <c r="M330" s="75">
        <f t="shared" si="124"/>
        <v>14182.62542</v>
      </c>
      <c r="N330" s="75">
        <f t="shared" si="124"/>
        <v>0</v>
      </c>
      <c r="O330" s="75">
        <f t="shared" si="124"/>
        <v>42376.455</v>
      </c>
      <c r="P330" s="75">
        <f t="shared" si="124"/>
        <v>42376.45525</v>
      </c>
      <c r="Q330" s="75"/>
      <c r="R330" s="75">
        <f t="shared" si="124"/>
        <v>0</v>
      </c>
    </row>
    <row r="331" spans="1:18" s="67" customFormat="1" ht="22.5">
      <c r="A331" s="85" t="s">
        <v>653</v>
      </c>
      <c r="B331" s="86" t="s">
        <v>654</v>
      </c>
      <c r="C331" s="92">
        <v>27991.0836</v>
      </c>
      <c r="D331" s="92"/>
      <c r="E331" s="92"/>
      <c r="F331" s="92"/>
      <c r="G331" s="92"/>
      <c r="H331" s="92">
        <v>9959.77864</v>
      </c>
      <c r="I331" s="92"/>
      <c r="J331" s="92"/>
      <c r="K331" s="92"/>
      <c r="L331" s="92"/>
      <c r="M331" s="92">
        <v>14182.62542</v>
      </c>
      <c r="N331" s="92"/>
      <c r="O331" s="92">
        <v>42366.675</v>
      </c>
      <c r="P331" s="92">
        <v>42366.67525</v>
      </c>
      <c r="Q331" s="92"/>
      <c r="R331" s="92"/>
    </row>
    <row r="332" spans="1:18" s="67" customFormat="1" ht="22.5">
      <c r="A332" s="90" t="s">
        <v>957</v>
      </c>
      <c r="B332" s="86"/>
      <c r="C332" s="92"/>
      <c r="D332" s="92"/>
      <c r="E332" s="92"/>
      <c r="F332" s="92"/>
      <c r="G332" s="92"/>
      <c r="H332" s="92"/>
      <c r="I332" s="92"/>
      <c r="J332" s="92"/>
      <c r="K332" s="92"/>
      <c r="L332" s="92"/>
      <c r="M332" s="92"/>
      <c r="N332" s="92"/>
      <c r="O332" s="92">
        <v>9.78</v>
      </c>
      <c r="P332" s="92">
        <v>9.78</v>
      </c>
      <c r="Q332" s="92"/>
      <c r="R332" s="92"/>
    </row>
    <row r="333" spans="1:18" s="67" customFormat="1" ht="11.25">
      <c r="A333" s="73" t="s">
        <v>655</v>
      </c>
      <c r="B333" s="84" t="s">
        <v>656</v>
      </c>
      <c r="C333" s="75">
        <f aca="true" t="shared" si="125" ref="C333:M333">SUM(C334:C340)</f>
        <v>962.22927</v>
      </c>
      <c r="D333" s="75">
        <f t="shared" si="125"/>
        <v>0</v>
      </c>
      <c r="E333" s="75">
        <f t="shared" si="125"/>
        <v>0</v>
      </c>
      <c r="F333" s="75">
        <f t="shared" si="125"/>
        <v>0</v>
      </c>
      <c r="G333" s="75">
        <f t="shared" si="125"/>
        <v>0</v>
      </c>
      <c r="H333" s="75">
        <f t="shared" si="125"/>
        <v>1328.8870100000004</v>
      </c>
      <c r="I333" s="75">
        <f t="shared" si="125"/>
        <v>0</v>
      </c>
      <c r="J333" s="75">
        <f t="shared" si="125"/>
        <v>0</v>
      </c>
      <c r="K333" s="75">
        <f t="shared" si="125"/>
        <v>0</v>
      </c>
      <c r="L333" s="75">
        <f t="shared" si="125"/>
        <v>0</v>
      </c>
      <c r="M333" s="75">
        <f t="shared" si="125"/>
        <v>1124.91757</v>
      </c>
      <c r="N333" s="75">
        <f>SUM(N334:N340)</f>
        <v>1328.8841600000003</v>
      </c>
      <c r="O333" s="75">
        <f>SUM(O334:O340)</f>
        <v>3292.4580000000005</v>
      </c>
      <c r="P333" s="75">
        <f>SUM(P334:P340)</f>
        <v>912.4556799999999</v>
      </c>
      <c r="Q333" s="75"/>
      <c r="R333" s="75">
        <f>SUM(R334:R340)</f>
        <v>2174.04343</v>
      </c>
    </row>
    <row r="334" spans="1:18" s="67" customFormat="1" ht="22.5">
      <c r="A334" s="85" t="s">
        <v>657</v>
      </c>
      <c r="B334" s="86" t="s">
        <v>658</v>
      </c>
      <c r="C334" s="92">
        <v>625.8491</v>
      </c>
      <c r="D334" s="92"/>
      <c r="E334" s="92"/>
      <c r="F334" s="92"/>
      <c r="G334" s="92"/>
      <c r="H334" s="92">
        <v>1062.24267</v>
      </c>
      <c r="I334" s="92"/>
      <c r="J334" s="92"/>
      <c r="K334" s="92"/>
      <c r="L334" s="92"/>
      <c r="M334" s="92">
        <v>817.66073</v>
      </c>
      <c r="N334" s="92">
        <v>1062.24</v>
      </c>
      <c r="O334" s="92">
        <v>3043.963</v>
      </c>
      <c r="P334" s="92">
        <v>831.92554</v>
      </c>
      <c r="Q334" s="92"/>
      <c r="R334" s="92">
        <v>1627.00393</v>
      </c>
    </row>
    <row r="335" spans="1:18" s="67" customFormat="1" ht="33.75">
      <c r="A335" s="85" t="s">
        <v>659</v>
      </c>
      <c r="B335" s="86" t="s">
        <v>660</v>
      </c>
      <c r="C335" s="92">
        <v>164.25611</v>
      </c>
      <c r="D335" s="92"/>
      <c r="E335" s="92"/>
      <c r="F335" s="92"/>
      <c r="G335" s="92"/>
      <c r="H335" s="92">
        <v>11.9</v>
      </c>
      <c r="I335" s="92"/>
      <c r="J335" s="92"/>
      <c r="K335" s="92"/>
      <c r="L335" s="92"/>
      <c r="M335" s="92">
        <v>9.76041</v>
      </c>
      <c r="N335" s="92">
        <v>11.9</v>
      </c>
      <c r="O335" s="92">
        <v>9.8</v>
      </c>
      <c r="P335" s="92">
        <v>9.53014</v>
      </c>
      <c r="Q335" s="92"/>
      <c r="R335" s="92">
        <v>392.1238</v>
      </c>
    </row>
    <row r="336" spans="1:18" s="67" customFormat="1" ht="22.5">
      <c r="A336" s="85" t="s">
        <v>661</v>
      </c>
      <c r="B336" s="86" t="s">
        <v>662</v>
      </c>
      <c r="C336" s="92">
        <v>59.68719</v>
      </c>
      <c r="D336" s="92"/>
      <c r="E336" s="92"/>
      <c r="F336" s="92"/>
      <c r="G336" s="92"/>
      <c r="H336" s="92">
        <v>77.74387</v>
      </c>
      <c r="I336" s="92"/>
      <c r="J336" s="92"/>
      <c r="K336" s="92"/>
      <c r="L336" s="92"/>
      <c r="M336" s="92">
        <v>-0.22768</v>
      </c>
      <c r="N336" s="92">
        <v>77.74</v>
      </c>
      <c r="O336" s="92"/>
      <c r="P336" s="92"/>
      <c r="Q336" s="92"/>
      <c r="R336" s="92"/>
    </row>
    <row r="337" spans="1:18" s="67" customFormat="1" ht="45">
      <c r="A337" s="85" t="s">
        <v>663</v>
      </c>
      <c r="B337" s="86" t="s">
        <v>664</v>
      </c>
      <c r="C337" s="92">
        <v>111.606</v>
      </c>
      <c r="D337" s="92"/>
      <c r="E337" s="92"/>
      <c r="F337" s="92"/>
      <c r="G337" s="92"/>
      <c r="H337" s="92">
        <v>47.92291</v>
      </c>
      <c r="I337" s="92"/>
      <c r="J337" s="92"/>
      <c r="K337" s="92"/>
      <c r="L337" s="92"/>
      <c r="M337" s="92">
        <v>56.86638</v>
      </c>
      <c r="N337" s="92">
        <v>47.92291</v>
      </c>
      <c r="O337" s="92">
        <v>194.695</v>
      </c>
      <c r="P337" s="92">
        <v>27</v>
      </c>
      <c r="Q337" s="92"/>
      <c r="R337" s="92">
        <v>154.9157</v>
      </c>
    </row>
    <row r="338" spans="1:18" s="67" customFormat="1" ht="45">
      <c r="A338" s="85" t="s">
        <v>801</v>
      </c>
      <c r="B338" s="86"/>
      <c r="C338" s="92"/>
      <c r="D338" s="92"/>
      <c r="E338" s="92"/>
      <c r="F338" s="92"/>
      <c r="G338" s="92"/>
      <c r="H338" s="92">
        <v>1.65631</v>
      </c>
      <c r="I338" s="92"/>
      <c r="J338" s="92"/>
      <c r="K338" s="92"/>
      <c r="L338" s="92"/>
      <c r="M338" s="92"/>
      <c r="N338" s="92">
        <v>1.66</v>
      </c>
      <c r="O338" s="92">
        <v>44</v>
      </c>
      <c r="P338" s="92">
        <v>44</v>
      </c>
      <c r="Q338" s="92"/>
      <c r="R338" s="92"/>
    </row>
    <row r="339" spans="1:18" s="67" customFormat="1" ht="33.75">
      <c r="A339" s="85" t="s">
        <v>665</v>
      </c>
      <c r="B339" s="86" t="s">
        <v>666</v>
      </c>
      <c r="C339" s="92">
        <v>0.83087</v>
      </c>
      <c r="D339" s="92"/>
      <c r="E339" s="92"/>
      <c r="F339" s="92"/>
      <c r="G339" s="92"/>
      <c r="H339" s="92"/>
      <c r="I339" s="92"/>
      <c r="J339" s="92"/>
      <c r="K339" s="92"/>
      <c r="L339" s="92"/>
      <c r="M339" s="92"/>
      <c r="N339" s="92"/>
      <c r="O339" s="92"/>
      <c r="P339" s="92"/>
      <c r="Q339" s="92"/>
      <c r="R339" s="92"/>
    </row>
    <row r="340" spans="1:18" s="67" customFormat="1" ht="45">
      <c r="A340" s="85" t="s">
        <v>802</v>
      </c>
      <c r="B340" s="86"/>
      <c r="C340" s="92"/>
      <c r="D340" s="92"/>
      <c r="E340" s="92"/>
      <c r="F340" s="92"/>
      <c r="G340" s="92"/>
      <c r="H340" s="92">
        <v>127.42125</v>
      </c>
      <c r="I340" s="92"/>
      <c r="J340" s="92"/>
      <c r="K340" s="92"/>
      <c r="L340" s="92"/>
      <c r="M340" s="92">
        <v>240.85773</v>
      </c>
      <c r="N340" s="92">
        <v>127.42125</v>
      </c>
      <c r="O340" s="92"/>
      <c r="P340" s="92"/>
      <c r="Q340" s="92"/>
      <c r="R340" s="92"/>
    </row>
    <row r="341" spans="1:18" s="67" customFormat="1" ht="22.5">
      <c r="A341" s="85" t="s">
        <v>667</v>
      </c>
      <c r="B341" s="86" t="s">
        <v>668</v>
      </c>
      <c r="C341" s="92">
        <v>31.67586</v>
      </c>
      <c r="D341" s="92"/>
      <c r="E341" s="92"/>
      <c r="F341" s="92"/>
      <c r="G341" s="92"/>
      <c r="H341" s="92"/>
      <c r="I341" s="92"/>
      <c r="J341" s="92"/>
      <c r="K341" s="92"/>
      <c r="L341" s="92"/>
      <c r="M341" s="92">
        <v>17.59101</v>
      </c>
      <c r="N341" s="92"/>
      <c r="O341" s="92"/>
      <c r="P341" s="92"/>
      <c r="Q341" s="92"/>
      <c r="R341" s="92"/>
    </row>
    <row r="342" spans="1:18" s="67" customFormat="1" ht="11.25" customHeight="1">
      <c r="A342" s="85" t="s">
        <v>669</v>
      </c>
      <c r="B342" s="86" t="s">
        <v>670</v>
      </c>
      <c r="C342" s="92">
        <v>45.32412</v>
      </c>
      <c r="D342" s="92"/>
      <c r="E342" s="92"/>
      <c r="F342" s="92"/>
      <c r="G342" s="92"/>
      <c r="H342" s="92">
        <v>221.50626</v>
      </c>
      <c r="I342" s="92"/>
      <c r="J342" s="92"/>
      <c r="K342" s="92"/>
      <c r="L342" s="92"/>
      <c r="M342" s="92">
        <v>66.71377</v>
      </c>
      <c r="N342" s="92"/>
      <c r="O342" s="92">
        <v>1199.879</v>
      </c>
      <c r="P342" s="92">
        <v>945.42675</v>
      </c>
      <c r="Q342" s="92"/>
      <c r="R342" s="92">
        <v>1652.73004</v>
      </c>
    </row>
    <row r="343" spans="1:18" s="67" customFormat="1" ht="22.5">
      <c r="A343" s="85" t="s">
        <v>671</v>
      </c>
      <c r="B343" s="86" t="s">
        <v>672</v>
      </c>
      <c r="C343" s="92">
        <v>52.17047</v>
      </c>
      <c r="D343" s="92"/>
      <c r="E343" s="92"/>
      <c r="F343" s="92"/>
      <c r="G343" s="92"/>
      <c r="H343" s="92">
        <v>44.59272</v>
      </c>
      <c r="I343" s="92"/>
      <c r="J343" s="92"/>
      <c r="K343" s="92"/>
      <c r="L343" s="92"/>
      <c r="M343" s="92">
        <v>78.45686</v>
      </c>
      <c r="N343" s="92"/>
      <c r="O343" s="92">
        <v>6.132</v>
      </c>
      <c r="P343" s="92">
        <v>6.04355</v>
      </c>
      <c r="Q343" s="92"/>
      <c r="R343" s="92">
        <v>62.23233</v>
      </c>
    </row>
    <row r="344" spans="1:18" s="67" customFormat="1" ht="22.5">
      <c r="A344" s="85" t="s">
        <v>673</v>
      </c>
      <c r="B344" s="86" t="s">
        <v>674</v>
      </c>
      <c r="C344" s="92">
        <v>2855.27581</v>
      </c>
      <c r="D344" s="92"/>
      <c r="E344" s="92"/>
      <c r="F344" s="92"/>
      <c r="G344" s="92"/>
      <c r="H344" s="92">
        <v>32.66238</v>
      </c>
      <c r="I344" s="92"/>
      <c r="J344" s="92"/>
      <c r="K344" s="92"/>
      <c r="L344" s="92"/>
      <c r="M344" s="92">
        <v>1330.28953</v>
      </c>
      <c r="N344" s="92">
        <v>35.19</v>
      </c>
      <c r="O344" s="92">
        <v>652.783</v>
      </c>
      <c r="P344" s="92">
        <v>590.90001</v>
      </c>
      <c r="Q344" s="92"/>
      <c r="R344" s="92">
        <v>1490</v>
      </c>
    </row>
    <row r="345" spans="1:18" s="67" customFormat="1" ht="22.5">
      <c r="A345" s="85" t="s">
        <v>675</v>
      </c>
      <c r="B345" s="86" t="s">
        <v>676</v>
      </c>
      <c r="C345" s="92">
        <v>211.68834</v>
      </c>
      <c r="D345" s="92"/>
      <c r="E345" s="92"/>
      <c r="F345" s="92"/>
      <c r="G345" s="92"/>
      <c r="H345" s="92">
        <v>179.33983</v>
      </c>
      <c r="I345" s="92"/>
      <c r="J345" s="92"/>
      <c r="K345" s="92"/>
      <c r="L345" s="92"/>
      <c r="M345" s="92">
        <v>191.27984</v>
      </c>
      <c r="N345" s="92"/>
      <c r="O345" s="92">
        <v>179.885</v>
      </c>
      <c r="P345" s="92">
        <v>147.25441</v>
      </c>
      <c r="Q345" s="92"/>
      <c r="R345" s="92"/>
    </row>
    <row r="346" spans="1:18" s="67" customFormat="1" ht="11.25">
      <c r="A346" s="85" t="s">
        <v>677</v>
      </c>
      <c r="B346" s="86" t="s">
        <v>678</v>
      </c>
      <c r="C346" s="92">
        <v>815.82572</v>
      </c>
      <c r="D346" s="92"/>
      <c r="E346" s="92"/>
      <c r="F346" s="92"/>
      <c r="G346" s="92"/>
      <c r="H346" s="92">
        <v>22.9244</v>
      </c>
      <c r="I346" s="92"/>
      <c r="J346" s="92"/>
      <c r="K346" s="92"/>
      <c r="L346" s="92"/>
      <c r="M346" s="92">
        <v>32.07847</v>
      </c>
      <c r="N346" s="92"/>
      <c r="O346" s="92">
        <v>47.576</v>
      </c>
      <c r="P346" s="92">
        <v>45.58674</v>
      </c>
      <c r="Q346" s="92"/>
      <c r="R346" s="92">
        <v>14.1598</v>
      </c>
    </row>
    <row r="347" spans="1:18" s="67" customFormat="1" ht="11.25">
      <c r="A347" s="85" t="s">
        <v>679</v>
      </c>
      <c r="B347" s="86" t="s">
        <v>680</v>
      </c>
      <c r="C347" s="92">
        <v>143.59968</v>
      </c>
      <c r="D347" s="92"/>
      <c r="E347" s="92"/>
      <c r="F347" s="92"/>
      <c r="G347" s="92"/>
      <c r="H347" s="92">
        <v>150.64093</v>
      </c>
      <c r="I347" s="92"/>
      <c r="J347" s="92"/>
      <c r="K347" s="92"/>
      <c r="L347" s="92"/>
      <c r="M347" s="92">
        <v>425.26596</v>
      </c>
      <c r="N347" s="92">
        <v>162.3</v>
      </c>
      <c r="O347" s="92">
        <v>349.25</v>
      </c>
      <c r="P347" s="92">
        <v>345.10702</v>
      </c>
      <c r="Q347" s="92"/>
      <c r="R347" s="92">
        <v>343.79404</v>
      </c>
    </row>
    <row r="348" spans="1:18" s="67" customFormat="1" ht="22.5">
      <c r="A348" s="85" t="s">
        <v>681</v>
      </c>
      <c r="B348" s="86" t="s">
        <v>682</v>
      </c>
      <c r="C348" s="92">
        <v>602.25825</v>
      </c>
      <c r="D348" s="92"/>
      <c r="E348" s="92"/>
      <c r="F348" s="92"/>
      <c r="G348" s="92"/>
      <c r="H348" s="92">
        <v>362.98721</v>
      </c>
      <c r="I348" s="92"/>
      <c r="J348" s="92"/>
      <c r="K348" s="92"/>
      <c r="L348" s="92"/>
      <c r="M348" s="92">
        <v>836.41529</v>
      </c>
      <c r="N348" s="92"/>
      <c r="O348" s="92">
        <v>172.153</v>
      </c>
      <c r="P348" s="92">
        <v>170.13714</v>
      </c>
      <c r="Q348" s="92"/>
      <c r="R348" s="92">
        <v>1003.40498</v>
      </c>
    </row>
    <row r="349" spans="1:18" s="67" customFormat="1" ht="22.5">
      <c r="A349" s="85" t="s">
        <v>683</v>
      </c>
      <c r="B349" s="86" t="s">
        <v>684</v>
      </c>
      <c r="C349" s="92">
        <v>6.2681</v>
      </c>
      <c r="D349" s="92"/>
      <c r="E349" s="92"/>
      <c r="F349" s="92"/>
      <c r="G349" s="92"/>
      <c r="H349" s="92">
        <v>13.66352</v>
      </c>
      <c r="I349" s="92"/>
      <c r="J349" s="92"/>
      <c r="K349" s="92"/>
      <c r="L349" s="92"/>
      <c r="M349" s="92">
        <v>7.89919</v>
      </c>
      <c r="N349" s="92"/>
      <c r="O349" s="92">
        <v>14.038</v>
      </c>
      <c r="P349" s="92">
        <v>11.00682</v>
      </c>
      <c r="Q349" s="92"/>
      <c r="R349" s="92">
        <v>19.94763</v>
      </c>
    </row>
    <row r="350" spans="1:18" s="67" customFormat="1" ht="33.75">
      <c r="A350" s="85" t="s">
        <v>685</v>
      </c>
      <c r="B350" s="86" t="s">
        <v>686</v>
      </c>
      <c r="C350" s="92">
        <v>844.0204</v>
      </c>
      <c r="D350" s="92"/>
      <c r="E350" s="92"/>
      <c r="F350" s="92"/>
      <c r="G350" s="92"/>
      <c r="H350" s="92">
        <v>716.30045</v>
      </c>
      <c r="I350" s="92"/>
      <c r="J350" s="92"/>
      <c r="K350" s="92"/>
      <c r="L350" s="92"/>
      <c r="M350" s="92">
        <v>926.224</v>
      </c>
      <c r="N350" s="92"/>
      <c r="O350" s="92">
        <v>948.875</v>
      </c>
      <c r="P350" s="92">
        <v>948.8748</v>
      </c>
      <c r="Q350" s="92"/>
      <c r="R350" s="92"/>
    </row>
    <row r="351" spans="1:18" s="67" customFormat="1" ht="22.5">
      <c r="A351" s="85" t="s">
        <v>811</v>
      </c>
      <c r="B351" s="86" t="s">
        <v>812</v>
      </c>
      <c r="C351" s="92"/>
      <c r="D351" s="92"/>
      <c r="E351" s="92"/>
      <c r="F351" s="92"/>
      <c r="G351" s="92"/>
      <c r="H351" s="92"/>
      <c r="I351" s="92"/>
      <c r="J351" s="92"/>
      <c r="K351" s="92"/>
      <c r="L351" s="92"/>
      <c r="M351" s="92"/>
      <c r="N351" s="92"/>
      <c r="O351" s="92">
        <v>4273.164</v>
      </c>
      <c r="P351" s="92">
        <v>0</v>
      </c>
      <c r="Q351" s="92"/>
      <c r="R351" s="92">
        <v>1316.29297</v>
      </c>
    </row>
    <row r="352" spans="1:18" s="67" customFormat="1" ht="33.75">
      <c r="A352" s="85" t="s">
        <v>764</v>
      </c>
      <c r="B352" s="86" t="s">
        <v>958</v>
      </c>
      <c r="C352" s="92"/>
      <c r="D352" s="92"/>
      <c r="E352" s="92"/>
      <c r="F352" s="92"/>
      <c r="G352" s="92"/>
      <c r="H352" s="92">
        <v>19.69957</v>
      </c>
      <c r="I352" s="92"/>
      <c r="J352" s="92"/>
      <c r="K352" s="92"/>
      <c r="L352" s="92"/>
      <c r="M352" s="92">
        <v>82.76914</v>
      </c>
      <c r="N352" s="92"/>
      <c r="O352" s="92">
        <v>55.76</v>
      </c>
      <c r="P352" s="92">
        <v>189.81623</v>
      </c>
      <c r="Q352" s="92"/>
      <c r="R352" s="92"/>
    </row>
    <row r="353" spans="1:18" s="67" customFormat="1" ht="33.75">
      <c r="A353" s="85" t="s">
        <v>687</v>
      </c>
      <c r="B353" s="86" t="s">
        <v>688</v>
      </c>
      <c r="C353" s="92">
        <v>296.61017</v>
      </c>
      <c r="D353" s="92"/>
      <c r="E353" s="92"/>
      <c r="F353" s="92"/>
      <c r="G353" s="92"/>
      <c r="H353" s="92">
        <v>159.50847</v>
      </c>
      <c r="I353" s="92"/>
      <c r="J353" s="92"/>
      <c r="K353" s="92"/>
      <c r="L353" s="92"/>
      <c r="M353" s="92">
        <v>35</v>
      </c>
      <c r="N353" s="92"/>
      <c r="O353" s="92">
        <v>192</v>
      </c>
      <c r="P353" s="92">
        <v>54.43755</v>
      </c>
      <c r="Q353" s="92"/>
      <c r="R353" s="92"/>
    </row>
    <row r="354" spans="1:18" s="67" customFormat="1" ht="11.25">
      <c r="A354" s="73" t="s">
        <v>689</v>
      </c>
      <c r="B354" s="84" t="s">
        <v>690</v>
      </c>
      <c r="C354" s="75">
        <f aca="true" t="shared" si="126" ref="C354:M354">SUM(C355:C359)</f>
        <v>3928.15722</v>
      </c>
      <c r="D354" s="75">
        <f t="shared" si="126"/>
        <v>0</v>
      </c>
      <c r="E354" s="75">
        <f t="shared" si="126"/>
        <v>0</v>
      </c>
      <c r="F354" s="75">
        <f t="shared" si="126"/>
        <v>0</v>
      </c>
      <c r="G354" s="75">
        <f t="shared" si="126"/>
        <v>0</v>
      </c>
      <c r="H354" s="75">
        <f t="shared" si="126"/>
        <v>4950.078210000001</v>
      </c>
      <c r="I354" s="75">
        <f t="shared" si="126"/>
        <v>0</v>
      </c>
      <c r="J354" s="75">
        <f t="shared" si="126"/>
        <v>0</v>
      </c>
      <c r="K354" s="75">
        <f t="shared" si="126"/>
        <v>0</v>
      </c>
      <c r="L354" s="75">
        <f t="shared" si="126"/>
        <v>0</v>
      </c>
      <c r="M354" s="75">
        <f t="shared" si="126"/>
        <v>5385.24615</v>
      </c>
      <c r="N354" s="75">
        <v>0</v>
      </c>
      <c r="O354" s="75">
        <f>SUM(O355:O359)</f>
        <v>7629.562999999999</v>
      </c>
      <c r="P354" s="75">
        <f>SUM(P355:P359)</f>
        <v>7447.542560000001</v>
      </c>
      <c r="Q354" s="75"/>
      <c r="R354" s="75">
        <f>SUM(R355:R359)</f>
        <v>8652.51417</v>
      </c>
    </row>
    <row r="355" spans="1:18" s="67" customFormat="1" ht="33.75">
      <c r="A355" s="85" t="s">
        <v>691</v>
      </c>
      <c r="B355" s="86" t="s">
        <v>692</v>
      </c>
      <c r="C355" s="92">
        <v>2842.38285</v>
      </c>
      <c r="D355" s="92"/>
      <c r="E355" s="92"/>
      <c r="F355" s="92"/>
      <c r="G355" s="92"/>
      <c r="H355" s="92">
        <v>3609.31594</v>
      </c>
      <c r="I355" s="92"/>
      <c r="J355" s="92"/>
      <c r="K355" s="92"/>
      <c r="L355" s="92"/>
      <c r="M355" s="92">
        <v>3889.6303</v>
      </c>
      <c r="N355" s="92"/>
      <c r="O355" s="92">
        <v>5553.557</v>
      </c>
      <c r="P355" s="92">
        <v>5400.72906</v>
      </c>
      <c r="Q355" s="92"/>
      <c r="R355" s="92">
        <v>8652.51417</v>
      </c>
    </row>
    <row r="356" spans="1:18" s="67" customFormat="1" ht="33.75">
      <c r="A356" s="85" t="s">
        <v>891</v>
      </c>
      <c r="B356" s="86" t="s">
        <v>892</v>
      </c>
      <c r="C356" s="92"/>
      <c r="D356" s="92"/>
      <c r="E356" s="92"/>
      <c r="F356" s="92"/>
      <c r="G356" s="92"/>
      <c r="H356" s="92"/>
      <c r="I356" s="92"/>
      <c r="J356" s="92"/>
      <c r="K356" s="92"/>
      <c r="L356" s="92"/>
      <c r="M356" s="92">
        <v>6.28633</v>
      </c>
      <c r="N356" s="92"/>
      <c r="O356" s="92"/>
      <c r="P356" s="92"/>
      <c r="Q356" s="92"/>
      <c r="R356" s="92"/>
    </row>
    <row r="357" spans="1:18" s="67" customFormat="1" ht="22.5">
      <c r="A357" s="85" t="s">
        <v>693</v>
      </c>
      <c r="B357" s="86" t="s">
        <v>694</v>
      </c>
      <c r="C357" s="92">
        <v>669.31392</v>
      </c>
      <c r="D357" s="92"/>
      <c r="E357" s="92"/>
      <c r="F357" s="92"/>
      <c r="G357" s="92"/>
      <c r="H357" s="92">
        <v>838.08554</v>
      </c>
      <c r="I357" s="92"/>
      <c r="J357" s="92"/>
      <c r="K357" s="92"/>
      <c r="L357" s="92"/>
      <c r="M357" s="92">
        <v>903.37201</v>
      </c>
      <c r="N357" s="92"/>
      <c r="O357" s="92">
        <v>1286.956</v>
      </c>
      <c r="P357" s="92">
        <v>1251.5313</v>
      </c>
      <c r="Q357" s="92"/>
      <c r="R357" s="92"/>
    </row>
    <row r="358" spans="1:18" s="67" customFormat="1" ht="22.5">
      <c r="A358" s="85" t="s">
        <v>695</v>
      </c>
      <c r="B358" s="86" t="s">
        <v>696</v>
      </c>
      <c r="C358" s="92">
        <v>52.17732</v>
      </c>
      <c r="D358" s="92"/>
      <c r="E358" s="92"/>
      <c r="F358" s="92"/>
      <c r="G358" s="92"/>
      <c r="H358" s="92">
        <v>33.92896</v>
      </c>
      <c r="I358" s="92"/>
      <c r="J358" s="92"/>
      <c r="K358" s="92"/>
      <c r="L358" s="92"/>
      <c r="M358" s="92">
        <v>79.57938</v>
      </c>
      <c r="N358" s="92"/>
      <c r="O358" s="92">
        <v>71.842</v>
      </c>
      <c r="P358" s="92">
        <v>97.84417</v>
      </c>
      <c r="Q358" s="92"/>
      <c r="R358" s="92"/>
    </row>
    <row r="359" spans="1:18" s="67" customFormat="1" ht="33.75">
      <c r="A359" s="85" t="s">
        <v>697</v>
      </c>
      <c r="B359" s="86" t="s">
        <v>698</v>
      </c>
      <c r="C359" s="92">
        <v>364.28313</v>
      </c>
      <c r="D359" s="92"/>
      <c r="E359" s="92"/>
      <c r="F359" s="92"/>
      <c r="G359" s="92"/>
      <c r="H359" s="92">
        <v>468.74777</v>
      </c>
      <c r="I359" s="92"/>
      <c r="J359" s="92"/>
      <c r="K359" s="92"/>
      <c r="L359" s="92"/>
      <c r="M359" s="92">
        <v>506.37813</v>
      </c>
      <c r="N359" s="92"/>
      <c r="O359" s="92">
        <v>717.208</v>
      </c>
      <c r="P359" s="92">
        <v>697.43803</v>
      </c>
      <c r="Q359" s="92"/>
      <c r="R359" s="92"/>
    </row>
    <row r="360" spans="1:18" s="67" customFormat="1" ht="11.25">
      <c r="A360" s="73" t="s">
        <v>699</v>
      </c>
      <c r="B360" s="84" t="s">
        <v>700</v>
      </c>
      <c r="C360" s="75">
        <f aca="true" t="shared" si="127" ref="C360:R360">C361</f>
        <v>168.881</v>
      </c>
      <c r="D360" s="75">
        <f t="shared" si="127"/>
        <v>0</v>
      </c>
      <c r="E360" s="75">
        <f t="shared" si="127"/>
        <v>0</v>
      </c>
      <c r="F360" s="75">
        <f t="shared" si="127"/>
        <v>0</v>
      </c>
      <c r="G360" s="75">
        <f t="shared" si="127"/>
        <v>0</v>
      </c>
      <c r="H360" s="75">
        <f t="shared" si="127"/>
        <v>675.26654</v>
      </c>
      <c r="I360" s="75">
        <f t="shared" si="127"/>
        <v>0</v>
      </c>
      <c r="J360" s="75">
        <f t="shared" si="127"/>
        <v>0</v>
      </c>
      <c r="K360" s="75">
        <f t="shared" si="127"/>
        <v>0</v>
      </c>
      <c r="L360" s="75">
        <f t="shared" si="127"/>
        <v>0</v>
      </c>
      <c r="M360" s="75">
        <f t="shared" si="127"/>
        <v>74.56606</v>
      </c>
      <c r="N360" s="75">
        <f t="shared" si="127"/>
        <v>0</v>
      </c>
      <c r="O360" s="75">
        <f t="shared" si="127"/>
        <v>771.108</v>
      </c>
      <c r="P360" s="75">
        <f t="shared" si="127"/>
        <v>770.16163</v>
      </c>
      <c r="Q360" s="75"/>
      <c r="R360" s="75">
        <f t="shared" si="127"/>
        <v>681.26815</v>
      </c>
    </row>
    <row r="361" spans="1:18" s="67" customFormat="1" ht="22.5">
      <c r="A361" s="85" t="s">
        <v>701</v>
      </c>
      <c r="B361" s="86" t="s">
        <v>702</v>
      </c>
      <c r="C361" s="92">
        <v>168.881</v>
      </c>
      <c r="D361" s="92"/>
      <c r="E361" s="92"/>
      <c r="F361" s="92"/>
      <c r="G361" s="92"/>
      <c r="H361" s="92">
        <v>675.26654</v>
      </c>
      <c r="I361" s="92"/>
      <c r="J361" s="92"/>
      <c r="K361" s="92"/>
      <c r="L361" s="92"/>
      <c r="M361" s="92">
        <v>74.56606</v>
      </c>
      <c r="N361" s="92"/>
      <c r="O361" s="92">
        <v>771.108</v>
      </c>
      <c r="P361" s="92">
        <v>770.16163</v>
      </c>
      <c r="Q361" s="92"/>
      <c r="R361" s="92">
        <v>681.26815</v>
      </c>
    </row>
    <row r="362" spans="1:18" s="67" customFormat="1" ht="11.25">
      <c r="A362" s="85" t="s">
        <v>703</v>
      </c>
      <c r="B362" s="86" t="s">
        <v>704</v>
      </c>
      <c r="C362" s="92">
        <v>0.06748</v>
      </c>
      <c r="D362" s="92"/>
      <c r="E362" s="92"/>
      <c r="F362" s="92"/>
      <c r="G362" s="92"/>
      <c r="H362" s="92">
        <v>0.06763</v>
      </c>
      <c r="I362" s="92"/>
      <c r="J362" s="92"/>
      <c r="K362" s="92"/>
      <c r="L362" s="92"/>
      <c r="M362" s="92">
        <v>0.06761</v>
      </c>
      <c r="N362" s="92"/>
      <c r="O362" s="92">
        <v>0.07</v>
      </c>
      <c r="P362" s="92">
        <v>0.06801</v>
      </c>
      <c r="Q362" s="92"/>
      <c r="R362" s="92"/>
    </row>
    <row r="363" spans="1:18" s="67" customFormat="1" ht="11.25">
      <c r="A363" s="73" t="s">
        <v>893</v>
      </c>
      <c r="B363" s="84" t="s">
        <v>894</v>
      </c>
      <c r="C363" s="75">
        <f aca="true" t="shared" si="128" ref="C363:R363">SUM(C364:C365)</f>
        <v>0</v>
      </c>
      <c r="D363" s="75">
        <f t="shared" si="128"/>
        <v>0</v>
      </c>
      <c r="E363" s="75">
        <f t="shared" si="128"/>
        <v>0</v>
      </c>
      <c r="F363" s="75">
        <f t="shared" si="128"/>
        <v>0</v>
      </c>
      <c r="G363" s="75">
        <f t="shared" si="128"/>
        <v>0</v>
      </c>
      <c r="H363" s="75">
        <f t="shared" si="128"/>
        <v>0</v>
      </c>
      <c r="I363" s="75">
        <f t="shared" si="128"/>
        <v>0</v>
      </c>
      <c r="J363" s="75">
        <f t="shared" si="128"/>
        <v>0</v>
      </c>
      <c r="K363" s="75">
        <f t="shared" si="128"/>
        <v>0</v>
      </c>
      <c r="L363" s="75">
        <f t="shared" si="128"/>
        <v>0</v>
      </c>
      <c r="M363" s="75">
        <f t="shared" si="128"/>
        <v>39.43286</v>
      </c>
      <c r="N363" s="75">
        <f t="shared" si="128"/>
        <v>0</v>
      </c>
      <c r="O363" s="75">
        <f t="shared" si="128"/>
        <v>2960.161</v>
      </c>
      <c r="P363" s="75">
        <f t="shared" si="128"/>
        <v>0</v>
      </c>
      <c r="Q363" s="75">
        <f t="shared" si="128"/>
        <v>0</v>
      </c>
      <c r="R363" s="75">
        <f t="shared" si="128"/>
        <v>0</v>
      </c>
    </row>
    <row r="364" spans="1:18" s="67" customFormat="1" ht="22.5">
      <c r="A364" s="174" t="s">
        <v>959</v>
      </c>
      <c r="B364" s="86" t="s">
        <v>960</v>
      </c>
      <c r="C364" s="92"/>
      <c r="D364" s="92"/>
      <c r="E364" s="92"/>
      <c r="F364" s="92"/>
      <c r="G364" s="92"/>
      <c r="H364" s="92"/>
      <c r="I364" s="92"/>
      <c r="J364" s="92"/>
      <c r="K364" s="92"/>
      <c r="L364" s="92"/>
      <c r="M364" s="92">
        <v>39.43286</v>
      </c>
      <c r="N364" s="92"/>
      <c r="O364" s="92">
        <v>786.006</v>
      </c>
      <c r="P364" s="92">
        <v>0</v>
      </c>
      <c r="Q364" s="92"/>
      <c r="R364" s="92"/>
    </row>
    <row r="365" spans="1:18" s="67" customFormat="1" ht="22.5">
      <c r="A365" s="85" t="s">
        <v>895</v>
      </c>
      <c r="B365" s="86" t="s">
        <v>896</v>
      </c>
      <c r="C365" s="92"/>
      <c r="D365" s="92"/>
      <c r="E365" s="92"/>
      <c r="F365" s="92"/>
      <c r="G365" s="92"/>
      <c r="H365" s="92"/>
      <c r="I365" s="92"/>
      <c r="J365" s="92"/>
      <c r="K365" s="92"/>
      <c r="L365" s="92"/>
      <c r="M365" s="92"/>
      <c r="N365" s="92"/>
      <c r="O365" s="92">
        <v>2174.155</v>
      </c>
      <c r="P365" s="92">
        <v>0</v>
      </c>
      <c r="Q365" s="92"/>
      <c r="R365" s="92"/>
    </row>
    <row r="366" spans="1:18" s="67" customFormat="1" ht="22.5">
      <c r="A366" s="85" t="s">
        <v>705</v>
      </c>
      <c r="B366" s="86" t="s">
        <v>706</v>
      </c>
      <c r="C366" s="92">
        <v>129.55878</v>
      </c>
      <c r="D366" s="92"/>
      <c r="E366" s="92"/>
      <c r="F366" s="92"/>
      <c r="G366" s="92"/>
      <c r="H366" s="92">
        <v>478.05575</v>
      </c>
      <c r="I366" s="92"/>
      <c r="J366" s="92"/>
      <c r="K366" s="92"/>
      <c r="L366" s="92"/>
      <c r="M366" s="92">
        <v>91.98898</v>
      </c>
      <c r="N366" s="92"/>
      <c r="O366" s="92"/>
      <c r="P366" s="92"/>
      <c r="Q366" s="92"/>
      <c r="R366" s="92"/>
    </row>
    <row r="367" spans="1:18" s="67" customFormat="1" ht="33.75">
      <c r="A367" s="85" t="s">
        <v>803</v>
      </c>
      <c r="B367" s="86"/>
      <c r="C367" s="92"/>
      <c r="D367" s="92"/>
      <c r="E367" s="92"/>
      <c r="F367" s="92"/>
      <c r="G367" s="92"/>
      <c r="H367" s="92">
        <v>402.54237</v>
      </c>
      <c r="I367" s="92"/>
      <c r="J367" s="92"/>
      <c r="K367" s="92"/>
      <c r="L367" s="92"/>
      <c r="M367" s="92"/>
      <c r="N367" s="92"/>
      <c r="O367" s="92">
        <v>50535.851</v>
      </c>
      <c r="P367" s="92">
        <v>50535.851</v>
      </c>
      <c r="Q367" s="92"/>
      <c r="R367" s="92"/>
    </row>
    <row r="368" spans="1:18" s="67" customFormat="1" ht="11.25">
      <c r="A368" s="85" t="s">
        <v>707</v>
      </c>
      <c r="B368" s="86" t="s">
        <v>708</v>
      </c>
      <c r="C368" s="92">
        <v>280.88112</v>
      </c>
      <c r="D368" s="92"/>
      <c r="E368" s="92"/>
      <c r="F368" s="92"/>
      <c r="G368" s="92"/>
      <c r="H368" s="92">
        <v>1576.71982</v>
      </c>
      <c r="I368" s="92"/>
      <c r="J368" s="92"/>
      <c r="K368" s="92"/>
      <c r="L368" s="92"/>
      <c r="M368" s="92">
        <v>1642.48019</v>
      </c>
      <c r="N368" s="92"/>
      <c r="O368" s="92">
        <v>1716.178</v>
      </c>
      <c r="P368" s="92">
        <v>1679.40789</v>
      </c>
      <c r="Q368" s="92"/>
      <c r="R368" s="92">
        <v>192.36193</v>
      </c>
    </row>
    <row r="369" spans="1:18" s="67" customFormat="1" ht="22.5">
      <c r="A369" s="90" t="s">
        <v>961</v>
      </c>
      <c r="B369" s="86" t="s">
        <v>962</v>
      </c>
      <c r="C369" s="92"/>
      <c r="D369" s="92"/>
      <c r="E369" s="92"/>
      <c r="F369" s="92"/>
      <c r="G369" s="92"/>
      <c r="H369" s="92"/>
      <c r="I369" s="92"/>
      <c r="J369" s="92"/>
      <c r="K369" s="92"/>
      <c r="L369" s="92"/>
      <c r="M369" s="92"/>
      <c r="N369" s="92"/>
      <c r="O369" s="92">
        <v>16.993</v>
      </c>
      <c r="P369" s="92">
        <v>16.99261</v>
      </c>
      <c r="Q369" s="92"/>
      <c r="R369" s="92"/>
    </row>
    <row r="370" spans="1:18" s="67" customFormat="1" ht="22.5">
      <c r="A370" s="85" t="s">
        <v>897</v>
      </c>
      <c r="B370" s="86" t="s">
        <v>898</v>
      </c>
      <c r="C370" s="92"/>
      <c r="D370" s="92"/>
      <c r="E370" s="92"/>
      <c r="F370" s="92"/>
      <c r="G370" s="92"/>
      <c r="H370" s="92"/>
      <c r="I370" s="92"/>
      <c r="J370" s="92"/>
      <c r="K370" s="92"/>
      <c r="L370" s="92"/>
      <c r="M370" s="92">
        <v>61.71138</v>
      </c>
      <c r="N370" s="92"/>
      <c r="O370" s="92"/>
      <c r="P370" s="92"/>
      <c r="Q370" s="92"/>
      <c r="R370" s="92"/>
    </row>
    <row r="371" spans="1:18" s="67" customFormat="1" ht="22.5">
      <c r="A371" s="85" t="s">
        <v>899</v>
      </c>
      <c r="B371" s="86" t="s">
        <v>963</v>
      </c>
      <c r="C371" s="92"/>
      <c r="D371" s="92"/>
      <c r="E371" s="92"/>
      <c r="F371" s="92"/>
      <c r="G371" s="92"/>
      <c r="H371" s="92"/>
      <c r="I371" s="92"/>
      <c r="J371" s="92"/>
      <c r="K371" s="92"/>
      <c r="L371" s="92"/>
      <c r="M371" s="92">
        <v>38.96158</v>
      </c>
      <c r="N371" s="92"/>
      <c r="O371" s="92"/>
      <c r="P371" s="92"/>
      <c r="Q371" s="92"/>
      <c r="R371" s="92"/>
    </row>
    <row r="372" spans="1:18" s="67" customFormat="1" ht="22.5">
      <c r="A372" s="175" t="s">
        <v>709</v>
      </c>
      <c r="B372" s="74">
        <v>11</v>
      </c>
      <c r="C372" s="75">
        <f aca="true" t="shared" si="129" ref="C372:H372">C373</f>
        <v>-265479.79079</v>
      </c>
      <c r="D372" s="75">
        <f t="shared" si="129"/>
        <v>0</v>
      </c>
      <c r="E372" s="75">
        <f t="shared" si="129"/>
        <v>0</v>
      </c>
      <c r="F372" s="75">
        <f t="shared" si="129"/>
        <v>0</v>
      </c>
      <c r="G372" s="75">
        <f t="shared" si="129"/>
        <v>0</v>
      </c>
      <c r="H372" s="75">
        <f t="shared" si="129"/>
        <v>44694.11493</v>
      </c>
      <c r="I372" s="75"/>
      <c r="J372" s="75"/>
      <c r="K372" s="75"/>
      <c r="L372" s="75"/>
      <c r="M372" s="75">
        <f>M373</f>
        <v>-187844.97132</v>
      </c>
      <c r="N372" s="75">
        <v>0</v>
      </c>
      <c r="O372" s="75">
        <f>SUM(O373:O374)</f>
        <v>73590.63374</v>
      </c>
      <c r="P372" s="75">
        <f>SUM(P373:P374)</f>
        <v>73590.63374</v>
      </c>
      <c r="Q372" s="75"/>
      <c r="R372" s="75">
        <f>R373</f>
        <v>-171158.651874757</v>
      </c>
    </row>
    <row r="373" spans="1:18" s="67" customFormat="1" ht="22.5">
      <c r="A373" s="85" t="s">
        <v>710</v>
      </c>
      <c r="B373" s="86" t="s">
        <v>711</v>
      </c>
      <c r="C373" s="92">
        <v>-265479.79079</v>
      </c>
      <c r="D373" s="92"/>
      <c r="E373" s="92"/>
      <c r="F373" s="92"/>
      <c r="G373" s="92"/>
      <c r="H373" s="92">
        <v>44694.11493</v>
      </c>
      <c r="I373" s="92"/>
      <c r="J373" s="92"/>
      <c r="K373" s="92"/>
      <c r="L373" s="92"/>
      <c r="M373" s="92">
        <v>-187844.97132</v>
      </c>
      <c r="N373" s="92"/>
      <c r="O373" s="92">
        <v>59112.78931</v>
      </c>
      <c r="P373" s="92">
        <v>59112.78931</v>
      </c>
      <c r="Q373" s="92"/>
      <c r="R373" s="92">
        <v>-171158.651874757</v>
      </c>
    </row>
    <row r="374" spans="1:18" s="67" customFormat="1" ht="11.25">
      <c r="A374" s="73" t="s">
        <v>712</v>
      </c>
      <c r="B374" s="86"/>
      <c r="C374" s="92">
        <v>237434.36257</v>
      </c>
      <c r="D374" s="92"/>
      <c r="E374" s="92"/>
      <c r="F374" s="92"/>
      <c r="G374" s="92"/>
      <c r="H374" s="92">
        <v>-243403.43428</v>
      </c>
      <c r="I374" s="92"/>
      <c r="J374" s="92"/>
      <c r="K374" s="92"/>
      <c r="L374" s="92"/>
      <c r="M374" s="92">
        <v>-129585.38859</v>
      </c>
      <c r="N374" s="92"/>
      <c r="O374" s="92">
        <v>14477.84443</v>
      </c>
      <c r="P374" s="92">
        <v>14477.84443</v>
      </c>
      <c r="Q374" s="92"/>
      <c r="R374" s="92"/>
    </row>
    <row r="375" spans="1:18" s="79" customFormat="1" ht="23.25" thickBot="1">
      <c r="A375" s="110" t="s">
        <v>964</v>
      </c>
      <c r="B375" s="111">
        <v>9</v>
      </c>
      <c r="C375" s="112">
        <v>21422.628039999996</v>
      </c>
      <c r="D375" s="112"/>
      <c r="E375" s="112"/>
      <c r="F375" s="112"/>
      <c r="G375" s="111"/>
      <c r="H375" s="112">
        <f>58086.92016-H223</f>
        <v>55545.81142</v>
      </c>
      <c r="I375" s="112"/>
      <c r="J375" s="112"/>
      <c r="K375" s="112"/>
      <c r="L375" s="111"/>
      <c r="M375" s="112">
        <f>43963.12002-M223</f>
        <v>41692.5391</v>
      </c>
      <c r="N375" s="112"/>
      <c r="O375" s="112">
        <f>46496.42264-O223</f>
        <v>44018.89801999999</v>
      </c>
      <c r="P375" s="112">
        <f>44876.70045-P223</f>
        <v>42427.693849999996</v>
      </c>
      <c r="Q375" s="112"/>
      <c r="R375" s="112">
        <v>15464.191699999998</v>
      </c>
    </row>
    <row r="376" spans="1:18" s="79" customFormat="1" ht="12" thickBot="1">
      <c r="A376" s="113" t="s">
        <v>900</v>
      </c>
      <c r="B376" s="114">
        <v>8</v>
      </c>
      <c r="C376" s="115">
        <f aca="true" t="shared" si="130" ref="C376:N376">SUM(C377,C380,C383,C385:C387,C389:C390,C394,C399:C410)</f>
        <v>54009.395260000005</v>
      </c>
      <c r="D376" s="115">
        <f t="shared" si="130"/>
        <v>0</v>
      </c>
      <c r="E376" s="115">
        <f t="shared" si="130"/>
        <v>0</v>
      </c>
      <c r="F376" s="115">
        <f t="shared" si="130"/>
        <v>0</v>
      </c>
      <c r="G376" s="115">
        <f>SUM(G377,G380,G383,G385:G387,G389:G390,G394,G399:G407)</f>
        <v>0</v>
      </c>
      <c r="H376" s="115">
        <f t="shared" si="130"/>
        <v>56996.75589</v>
      </c>
      <c r="I376" s="115">
        <f t="shared" si="130"/>
        <v>0</v>
      </c>
      <c r="J376" s="115">
        <f t="shared" si="130"/>
        <v>0</v>
      </c>
      <c r="K376" s="115">
        <f t="shared" si="130"/>
        <v>0</v>
      </c>
      <c r="L376" s="115">
        <f>SUM(L377,L380,L383,L385:L387,L389:L390,L394,L399:L407)</f>
        <v>0</v>
      </c>
      <c r="M376" s="115">
        <f t="shared" si="130"/>
        <v>292477.53982</v>
      </c>
      <c r="N376" s="115">
        <f t="shared" si="130"/>
        <v>0</v>
      </c>
      <c r="O376" s="115">
        <f>SUM(O377,O380,O383,O385:O387,O389:O390,O394,O399:O410)</f>
        <v>100609.41689999997</v>
      </c>
      <c r="P376" s="115">
        <f>SUM(P377,P380,P383,P385:P387,P389:P390,P394,P399:P410)</f>
        <v>56520.941419999996</v>
      </c>
      <c r="Q376" s="115"/>
      <c r="R376" s="115">
        <f>SUM(R377,R380,R383,R385:R387,R389:R390,R394,R399:R410)</f>
        <v>2072.03219</v>
      </c>
    </row>
    <row r="377" spans="1:18" s="67" customFormat="1" ht="22.5" outlineLevel="1">
      <c r="A377" s="70" t="s">
        <v>713</v>
      </c>
      <c r="B377" s="83" t="s">
        <v>714</v>
      </c>
      <c r="C377" s="72">
        <f aca="true" t="shared" si="131" ref="C377:N377">C379</f>
        <v>189.04459</v>
      </c>
      <c r="D377" s="72">
        <f t="shared" si="131"/>
        <v>0</v>
      </c>
      <c r="E377" s="72">
        <f t="shared" si="131"/>
        <v>0</v>
      </c>
      <c r="F377" s="72">
        <f t="shared" si="131"/>
        <v>0</v>
      </c>
      <c r="G377" s="72">
        <f t="shared" si="131"/>
        <v>0</v>
      </c>
      <c r="H377" s="72">
        <f t="shared" si="131"/>
        <v>79.35468</v>
      </c>
      <c r="I377" s="72">
        <f t="shared" si="131"/>
        <v>0</v>
      </c>
      <c r="J377" s="72">
        <f t="shared" si="131"/>
        <v>0</v>
      </c>
      <c r="K377" s="72">
        <f t="shared" si="131"/>
        <v>0</v>
      </c>
      <c r="L377" s="72">
        <f t="shared" si="131"/>
        <v>0</v>
      </c>
      <c r="M377" s="72">
        <f>M378+M379</f>
        <v>254899.15869</v>
      </c>
      <c r="N377" s="72">
        <f t="shared" si="131"/>
        <v>0</v>
      </c>
      <c r="O377" s="72">
        <f>O378+O379</f>
        <v>44.2439</v>
      </c>
      <c r="P377" s="72">
        <f>P378+P379</f>
        <v>44.2439</v>
      </c>
      <c r="Q377" s="72"/>
      <c r="R377" s="72">
        <f>R378+R379</f>
        <v>14.4</v>
      </c>
    </row>
    <row r="378" spans="1:18" s="67" customFormat="1" ht="11.25" outlineLevel="1">
      <c r="A378" s="90" t="s">
        <v>813</v>
      </c>
      <c r="B378" s="86" t="s">
        <v>901</v>
      </c>
      <c r="C378" s="92"/>
      <c r="D378" s="92"/>
      <c r="E378" s="92"/>
      <c r="F378" s="92"/>
      <c r="G378" s="92"/>
      <c r="H378" s="92"/>
      <c r="I378" s="92"/>
      <c r="J378" s="92"/>
      <c r="K378" s="92"/>
      <c r="L378" s="92"/>
      <c r="M378" s="92">
        <v>254893.91712</v>
      </c>
      <c r="N378" s="92"/>
      <c r="O378" s="92"/>
      <c r="P378" s="92"/>
      <c r="Q378" s="92"/>
      <c r="R378" s="92"/>
    </row>
    <row r="379" spans="1:18" s="67" customFormat="1" ht="11.25" outlineLevel="1">
      <c r="A379" s="85" t="s">
        <v>715</v>
      </c>
      <c r="B379" s="86" t="s">
        <v>716</v>
      </c>
      <c r="C379" s="92">
        <v>189.04459</v>
      </c>
      <c r="D379" s="92"/>
      <c r="E379" s="92"/>
      <c r="F379" s="92"/>
      <c r="G379" s="92"/>
      <c r="H379" s="92">
        <v>79.35468</v>
      </c>
      <c r="I379" s="92"/>
      <c r="J379" s="92"/>
      <c r="K379" s="92"/>
      <c r="L379" s="92"/>
      <c r="M379" s="92">
        <v>5.24157</v>
      </c>
      <c r="N379" s="92"/>
      <c r="O379" s="92">
        <v>44.2439</v>
      </c>
      <c r="P379" s="92">
        <v>44.2439</v>
      </c>
      <c r="Q379" s="92"/>
      <c r="R379" s="92">
        <v>14.4</v>
      </c>
    </row>
    <row r="380" spans="1:18" s="67" customFormat="1" ht="11.25" outlineLevel="1">
      <c r="A380" s="73" t="s">
        <v>717</v>
      </c>
      <c r="B380" s="84" t="s">
        <v>718</v>
      </c>
      <c r="C380" s="75">
        <f aca="true" t="shared" si="132" ref="C380:P380">SUM(C381:C382)</f>
        <v>1138.24684</v>
      </c>
      <c r="D380" s="75">
        <f t="shared" si="132"/>
        <v>0</v>
      </c>
      <c r="E380" s="75">
        <f t="shared" si="132"/>
        <v>0</v>
      </c>
      <c r="F380" s="75">
        <f t="shared" si="132"/>
        <v>0</v>
      </c>
      <c r="G380" s="75">
        <f t="shared" si="132"/>
        <v>0</v>
      </c>
      <c r="H380" s="75">
        <f t="shared" si="132"/>
        <v>3541.77381</v>
      </c>
      <c r="I380" s="75">
        <f t="shared" si="132"/>
        <v>0</v>
      </c>
      <c r="J380" s="75">
        <f t="shared" si="132"/>
        <v>0</v>
      </c>
      <c r="K380" s="75">
        <f t="shared" si="132"/>
        <v>0</v>
      </c>
      <c r="L380" s="75">
        <f t="shared" si="132"/>
        <v>0</v>
      </c>
      <c r="M380" s="75">
        <f t="shared" si="132"/>
        <v>851.58843</v>
      </c>
      <c r="N380" s="75">
        <f t="shared" si="132"/>
        <v>0</v>
      </c>
      <c r="O380" s="75">
        <f t="shared" si="132"/>
        <v>6520.852999999999</v>
      </c>
      <c r="P380" s="75">
        <f t="shared" si="132"/>
        <v>2284.68104</v>
      </c>
      <c r="Q380" s="75"/>
      <c r="R380" s="75">
        <f>SUM(R381:R382)</f>
        <v>615.43797</v>
      </c>
    </row>
    <row r="381" spans="1:18" s="67" customFormat="1" ht="22.5" outlineLevel="1">
      <c r="A381" s="85" t="s">
        <v>719</v>
      </c>
      <c r="B381" s="86" t="s">
        <v>720</v>
      </c>
      <c r="C381" s="92">
        <v>1138.24684</v>
      </c>
      <c r="D381" s="92"/>
      <c r="E381" s="92"/>
      <c r="F381" s="92"/>
      <c r="G381" s="92"/>
      <c r="H381" s="92">
        <v>3541.77381</v>
      </c>
      <c r="I381" s="92"/>
      <c r="J381" s="92"/>
      <c r="K381" s="92"/>
      <c r="L381" s="92"/>
      <c r="M381" s="92">
        <v>844.87841</v>
      </c>
      <c r="N381" s="92"/>
      <c r="O381" s="92">
        <v>2355.31</v>
      </c>
      <c r="P381" s="92">
        <v>2277.6455</v>
      </c>
      <c r="Q381" s="92"/>
      <c r="R381" s="92">
        <v>615.43797</v>
      </c>
    </row>
    <row r="382" spans="1:18" s="67" customFormat="1" ht="33.75" outlineLevel="1">
      <c r="A382" s="85" t="s">
        <v>721</v>
      </c>
      <c r="B382" s="86" t="s">
        <v>722</v>
      </c>
      <c r="C382" s="92"/>
      <c r="D382" s="92"/>
      <c r="E382" s="92"/>
      <c r="F382" s="92"/>
      <c r="G382" s="92"/>
      <c r="H382" s="92"/>
      <c r="I382" s="92"/>
      <c r="J382" s="92"/>
      <c r="K382" s="92"/>
      <c r="L382" s="92"/>
      <c r="M382" s="92">
        <v>6.71002</v>
      </c>
      <c r="N382" s="92"/>
      <c r="O382" s="92">
        <v>4165.543</v>
      </c>
      <c r="P382" s="92">
        <v>7.03554</v>
      </c>
      <c r="Q382" s="92"/>
      <c r="R382" s="92"/>
    </row>
    <row r="383" spans="1:18" s="67" customFormat="1" ht="33.75" outlineLevel="1">
      <c r="A383" s="73" t="s">
        <v>723</v>
      </c>
      <c r="B383" s="84" t="s">
        <v>724</v>
      </c>
      <c r="C383" s="75">
        <f aca="true" t="shared" si="133" ref="C383:R383">C384</f>
        <v>27.1697</v>
      </c>
      <c r="D383" s="75">
        <f t="shared" si="133"/>
        <v>0</v>
      </c>
      <c r="E383" s="75">
        <f t="shared" si="133"/>
        <v>0</v>
      </c>
      <c r="F383" s="75">
        <f t="shared" si="133"/>
        <v>0</v>
      </c>
      <c r="G383" s="75">
        <f t="shared" si="133"/>
        <v>0</v>
      </c>
      <c r="H383" s="75">
        <f t="shared" si="133"/>
        <v>0</v>
      </c>
      <c r="I383" s="75">
        <f t="shared" si="133"/>
        <v>0</v>
      </c>
      <c r="J383" s="75">
        <f t="shared" si="133"/>
        <v>0</v>
      </c>
      <c r="K383" s="75">
        <f t="shared" si="133"/>
        <v>0</v>
      </c>
      <c r="L383" s="75">
        <f t="shared" si="133"/>
        <v>0</v>
      </c>
      <c r="M383" s="75">
        <f t="shared" si="133"/>
        <v>0</v>
      </c>
      <c r="N383" s="75">
        <f t="shared" si="133"/>
        <v>0</v>
      </c>
      <c r="O383" s="75">
        <f t="shared" si="133"/>
        <v>842.584</v>
      </c>
      <c r="P383" s="75">
        <f t="shared" si="133"/>
        <v>349.10727</v>
      </c>
      <c r="Q383" s="75"/>
      <c r="R383" s="75">
        <f t="shared" si="133"/>
        <v>0</v>
      </c>
    </row>
    <row r="384" spans="1:18" s="67" customFormat="1" ht="22.5" outlineLevel="1">
      <c r="A384" s="85" t="s">
        <v>725</v>
      </c>
      <c r="B384" s="86" t="s">
        <v>726</v>
      </c>
      <c r="C384" s="92">
        <v>27.1697</v>
      </c>
      <c r="D384" s="92"/>
      <c r="E384" s="92"/>
      <c r="F384" s="92"/>
      <c r="G384" s="92"/>
      <c r="H384" s="92"/>
      <c r="I384" s="92"/>
      <c r="J384" s="92"/>
      <c r="K384" s="92"/>
      <c r="L384" s="92"/>
      <c r="M384" s="92"/>
      <c r="N384" s="92"/>
      <c r="O384" s="92">
        <v>842.584</v>
      </c>
      <c r="P384" s="92">
        <v>349.10727</v>
      </c>
      <c r="Q384" s="92"/>
      <c r="R384" s="92"/>
    </row>
    <row r="385" spans="1:18" s="67" customFormat="1" ht="22.5" outlineLevel="1">
      <c r="A385" s="85" t="s">
        <v>727</v>
      </c>
      <c r="B385" s="86" t="s">
        <v>728</v>
      </c>
      <c r="C385" s="92">
        <v>56.93456</v>
      </c>
      <c r="D385" s="92"/>
      <c r="E385" s="92"/>
      <c r="F385" s="92"/>
      <c r="G385" s="92"/>
      <c r="H385" s="92">
        <v>259.59316</v>
      </c>
      <c r="I385" s="92"/>
      <c r="J385" s="92"/>
      <c r="K385" s="92"/>
      <c r="L385" s="92"/>
      <c r="M385" s="92">
        <v>214.56438</v>
      </c>
      <c r="N385" s="92"/>
      <c r="O385" s="92">
        <v>6550.087</v>
      </c>
      <c r="P385" s="92">
        <v>156.69276</v>
      </c>
      <c r="Q385" s="92"/>
      <c r="R385" s="92"/>
    </row>
    <row r="386" spans="1:18" s="67" customFormat="1" ht="22.5" outlineLevel="1">
      <c r="A386" s="85" t="s">
        <v>806</v>
      </c>
      <c r="B386" s="86" t="s">
        <v>965</v>
      </c>
      <c r="C386" s="92"/>
      <c r="D386" s="92"/>
      <c r="E386" s="92"/>
      <c r="F386" s="92"/>
      <c r="G386" s="92"/>
      <c r="H386" s="92">
        <v>21581.035</v>
      </c>
      <c r="I386" s="92"/>
      <c r="J386" s="92"/>
      <c r="K386" s="92"/>
      <c r="L386" s="92"/>
      <c r="M386" s="92">
        <v>5459.976</v>
      </c>
      <c r="N386" s="92"/>
      <c r="O386" s="92"/>
      <c r="P386" s="92"/>
      <c r="Q386" s="92"/>
      <c r="R386" s="92"/>
    </row>
    <row r="387" spans="1:18" s="67" customFormat="1" ht="22.5" outlineLevel="1">
      <c r="A387" s="73" t="s">
        <v>729</v>
      </c>
      <c r="B387" s="84" t="s">
        <v>730</v>
      </c>
      <c r="C387" s="75">
        <f aca="true" t="shared" si="134" ref="C387:R387">C388</f>
        <v>23.49647</v>
      </c>
      <c r="D387" s="75">
        <f t="shared" si="134"/>
        <v>0</v>
      </c>
      <c r="E387" s="75">
        <f t="shared" si="134"/>
        <v>0</v>
      </c>
      <c r="F387" s="75">
        <f t="shared" si="134"/>
        <v>0</v>
      </c>
      <c r="G387" s="75">
        <f t="shared" si="134"/>
        <v>0</v>
      </c>
      <c r="H387" s="75">
        <f t="shared" si="134"/>
        <v>15.39171</v>
      </c>
      <c r="I387" s="75">
        <f t="shared" si="134"/>
        <v>0</v>
      </c>
      <c r="J387" s="75">
        <f t="shared" si="134"/>
        <v>0</v>
      </c>
      <c r="K387" s="75">
        <f t="shared" si="134"/>
        <v>0</v>
      </c>
      <c r="L387" s="75">
        <f t="shared" si="134"/>
        <v>0</v>
      </c>
      <c r="M387" s="75">
        <f t="shared" si="134"/>
        <v>494.02526</v>
      </c>
      <c r="N387" s="75">
        <f t="shared" si="134"/>
        <v>0</v>
      </c>
      <c r="O387" s="75">
        <f t="shared" si="134"/>
        <v>4.028</v>
      </c>
      <c r="P387" s="75">
        <f t="shared" si="134"/>
        <v>2.5135</v>
      </c>
      <c r="Q387" s="75"/>
      <c r="R387" s="75">
        <f t="shared" si="134"/>
        <v>0</v>
      </c>
    </row>
    <row r="388" spans="1:18" s="67" customFormat="1" ht="22.5" outlineLevel="1">
      <c r="A388" s="85" t="s">
        <v>902</v>
      </c>
      <c r="B388" s="86" t="s">
        <v>731</v>
      </c>
      <c r="C388" s="92">
        <v>23.49647</v>
      </c>
      <c r="D388" s="92"/>
      <c r="E388" s="92"/>
      <c r="F388" s="92"/>
      <c r="G388" s="92"/>
      <c r="H388" s="92">
        <v>15.39171</v>
      </c>
      <c r="I388" s="92"/>
      <c r="J388" s="92"/>
      <c r="K388" s="92"/>
      <c r="L388" s="92"/>
      <c r="M388" s="92">
        <v>494.02526</v>
      </c>
      <c r="N388" s="92"/>
      <c r="O388" s="92">
        <v>4.028</v>
      </c>
      <c r="P388" s="92">
        <v>2.5135</v>
      </c>
      <c r="Q388" s="92"/>
      <c r="R388" s="92"/>
    </row>
    <row r="389" spans="1:18" s="67" customFormat="1" ht="11.25" outlineLevel="1">
      <c r="A389" s="85" t="s">
        <v>732</v>
      </c>
      <c r="B389" s="86" t="s">
        <v>733</v>
      </c>
      <c r="C389" s="92">
        <v>0.1189</v>
      </c>
      <c r="D389" s="92"/>
      <c r="E389" s="92"/>
      <c r="F389" s="92"/>
      <c r="G389" s="92"/>
      <c r="H389" s="92">
        <v>0.38447</v>
      </c>
      <c r="I389" s="92"/>
      <c r="J389" s="92"/>
      <c r="K389" s="92"/>
      <c r="L389" s="92"/>
      <c r="M389" s="92">
        <v>0.24094</v>
      </c>
      <c r="N389" s="92"/>
      <c r="O389" s="92">
        <v>0.105</v>
      </c>
      <c r="P389" s="92">
        <v>0.09507</v>
      </c>
      <c r="Q389" s="92"/>
      <c r="R389" s="92"/>
    </row>
    <row r="390" spans="1:18" s="67" customFormat="1" ht="22.5" outlineLevel="1">
      <c r="A390" s="73" t="s">
        <v>734</v>
      </c>
      <c r="B390" s="84" t="s">
        <v>735</v>
      </c>
      <c r="C390" s="75">
        <f aca="true" t="shared" si="135" ref="C390:P390">SUM(C391:C393)</f>
        <v>32084.18144</v>
      </c>
      <c r="D390" s="75">
        <f t="shared" si="135"/>
        <v>0</v>
      </c>
      <c r="E390" s="75">
        <f t="shared" si="135"/>
        <v>0</v>
      </c>
      <c r="F390" s="75">
        <f t="shared" si="135"/>
        <v>0</v>
      </c>
      <c r="G390" s="75">
        <f t="shared" si="135"/>
        <v>0</v>
      </c>
      <c r="H390" s="75">
        <f t="shared" si="135"/>
        <v>7417.350979999999</v>
      </c>
      <c r="I390" s="75">
        <f t="shared" si="135"/>
        <v>0</v>
      </c>
      <c r="J390" s="75">
        <f t="shared" si="135"/>
        <v>0</v>
      </c>
      <c r="K390" s="75">
        <f t="shared" si="135"/>
        <v>0</v>
      </c>
      <c r="L390" s="75">
        <f t="shared" si="135"/>
        <v>0</v>
      </c>
      <c r="M390" s="75">
        <f t="shared" si="135"/>
        <v>21608.727870000002</v>
      </c>
      <c r="N390" s="75">
        <f t="shared" si="135"/>
        <v>0</v>
      </c>
      <c r="O390" s="75">
        <f t="shared" si="135"/>
        <v>53692.807</v>
      </c>
      <c r="P390" s="75">
        <f t="shared" si="135"/>
        <v>22281.83832</v>
      </c>
      <c r="Q390" s="75"/>
      <c r="R390" s="75">
        <f>SUM(R391:R393)</f>
        <v>0</v>
      </c>
    </row>
    <row r="391" spans="1:18" s="67" customFormat="1" ht="22.5" outlineLevel="1">
      <c r="A391" s="85" t="s">
        <v>736</v>
      </c>
      <c r="B391" s="86" t="s">
        <v>737</v>
      </c>
      <c r="C391" s="92">
        <v>28301.3445</v>
      </c>
      <c r="D391" s="92"/>
      <c r="E391" s="92"/>
      <c r="F391" s="92"/>
      <c r="G391" s="92"/>
      <c r="H391" s="92">
        <v>6486.31344</v>
      </c>
      <c r="I391" s="92"/>
      <c r="J391" s="92"/>
      <c r="K391" s="92"/>
      <c r="L391" s="158"/>
      <c r="M391" s="92">
        <v>13620.7936</v>
      </c>
      <c r="N391" s="92"/>
      <c r="O391" s="92">
        <v>47089.14</v>
      </c>
      <c r="P391" s="92">
        <v>15761.00266</v>
      </c>
      <c r="Q391" s="92"/>
      <c r="R391" s="92"/>
    </row>
    <row r="392" spans="1:18" s="67" customFormat="1" ht="22.5" outlineLevel="1">
      <c r="A392" s="85" t="s">
        <v>738</v>
      </c>
      <c r="B392" s="86" t="s">
        <v>739</v>
      </c>
      <c r="C392" s="92">
        <v>256.97665</v>
      </c>
      <c r="D392" s="92"/>
      <c r="E392" s="92"/>
      <c r="F392" s="92"/>
      <c r="G392" s="92"/>
      <c r="H392" s="92">
        <v>246.14622</v>
      </c>
      <c r="I392" s="92"/>
      <c r="J392" s="92"/>
      <c r="K392" s="92"/>
      <c r="L392" s="92"/>
      <c r="M392" s="92">
        <v>85.60669</v>
      </c>
      <c r="N392" s="92"/>
      <c r="O392" s="92">
        <v>85.772</v>
      </c>
      <c r="P392" s="92">
        <v>83.37114</v>
      </c>
      <c r="Q392" s="92"/>
      <c r="R392" s="92"/>
    </row>
    <row r="393" spans="1:18" s="67" customFormat="1" ht="45" outlineLevel="1">
      <c r="A393" s="85" t="s">
        <v>740</v>
      </c>
      <c r="B393" s="86" t="s">
        <v>741</v>
      </c>
      <c r="C393" s="92">
        <v>3525.86029</v>
      </c>
      <c r="D393" s="92"/>
      <c r="E393" s="92"/>
      <c r="F393" s="92"/>
      <c r="G393" s="92"/>
      <c r="H393" s="92">
        <v>684.89132</v>
      </c>
      <c r="I393" s="92"/>
      <c r="J393" s="92"/>
      <c r="K393" s="92"/>
      <c r="L393" s="92"/>
      <c r="M393" s="92">
        <v>7902.32758</v>
      </c>
      <c r="N393" s="92"/>
      <c r="O393" s="92">
        <v>6517.895</v>
      </c>
      <c r="P393" s="92">
        <v>6437.46452</v>
      </c>
      <c r="Q393" s="92"/>
      <c r="R393" s="92"/>
    </row>
    <row r="394" spans="1:18" s="67" customFormat="1" ht="11.25" outlineLevel="1">
      <c r="A394" s="73" t="s">
        <v>742</v>
      </c>
      <c r="B394" s="84" t="s">
        <v>743</v>
      </c>
      <c r="C394" s="75">
        <f>SUM(C395:C398)</f>
        <v>1017.76869</v>
      </c>
      <c r="D394" s="75">
        <f aca="true" t="shared" si="136" ref="D394:R394">SUM(D395:D398)</f>
        <v>0</v>
      </c>
      <c r="E394" s="75">
        <f t="shared" si="136"/>
        <v>0</v>
      </c>
      <c r="F394" s="75">
        <f t="shared" si="136"/>
        <v>0</v>
      </c>
      <c r="G394" s="75">
        <f>SUM(G395:G397)</f>
        <v>0</v>
      </c>
      <c r="H394" s="75">
        <f t="shared" si="136"/>
        <v>1083.45121</v>
      </c>
      <c r="I394" s="75">
        <f t="shared" si="136"/>
        <v>0</v>
      </c>
      <c r="J394" s="75">
        <f t="shared" si="136"/>
        <v>0</v>
      </c>
      <c r="K394" s="75">
        <f t="shared" si="136"/>
        <v>0</v>
      </c>
      <c r="L394" s="75">
        <f t="shared" si="136"/>
        <v>0</v>
      </c>
      <c r="M394" s="75">
        <f t="shared" si="136"/>
        <v>598.76628</v>
      </c>
      <c r="N394" s="75">
        <f t="shared" si="136"/>
        <v>0</v>
      </c>
      <c r="O394" s="75">
        <f t="shared" si="136"/>
        <v>2659.01</v>
      </c>
      <c r="P394" s="75">
        <f t="shared" si="136"/>
        <v>1116.86264</v>
      </c>
      <c r="Q394" s="75"/>
      <c r="R394" s="75">
        <f t="shared" si="136"/>
        <v>1186.28156</v>
      </c>
    </row>
    <row r="395" spans="1:18" s="67" customFormat="1" ht="11.25" outlineLevel="1">
      <c r="A395" s="85" t="s">
        <v>744</v>
      </c>
      <c r="B395" s="86" t="s">
        <v>745</v>
      </c>
      <c r="C395" s="92">
        <v>1016.864</v>
      </c>
      <c r="D395" s="92"/>
      <c r="E395" s="92"/>
      <c r="F395" s="92"/>
      <c r="G395" s="92"/>
      <c r="H395" s="92">
        <v>1042.07577</v>
      </c>
      <c r="I395" s="92"/>
      <c r="J395" s="92"/>
      <c r="K395" s="92"/>
      <c r="L395" s="92"/>
      <c r="M395" s="92">
        <v>598.76628</v>
      </c>
      <c r="N395" s="92"/>
      <c r="O395" s="92">
        <v>2527.311</v>
      </c>
      <c r="P395" s="92">
        <v>992.74339</v>
      </c>
      <c r="Q395" s="92"/>
      <c r="R395" s="92">
        <v>627.4372</v>
      </c>
    </row>
    <row r="396" spans="1:18" s="67" customFormat="1" ht="22.5" outlineLevel="1">
      <c r="A396" s="85" t="s">
        <v>804</v>
      </c>
      <c r="B396" s="86"/>
      <c r="C396" s="92"/>
      <c r="D396" s="92"/>
      <c r="E396" s="92"/>
      <c r="F396" s="92"/>
      <c r="G396" s="92"/>
      <c r="H396" s="92">
        <v>28.61759</v>
      </c>
      <c r="I396" s="92"/>
      <c r="J396" s="92"/>
      <c r="K396" s="92"/>
      <c r="L396" s="92"/>
      <c r="M396" s="92"/>
      <c r="N396" s="92"/>
      <c r="O396" s="92">
        <v>124.119</v>
      </c>
      <c r="P396" s="92">
        <v>124.11925</v>
      </c>
      <c r="Q396" s="92"/>
      <c r="R396" s="92"/>
    </row>
    <row r="397" spans="1:18" s="67" customFormat="1" ht="22.5" outlineLevel="1">
      <c r="A397" s="85" t="s">
        <v>746</v>
      </c>
      <c r="B397" s="86" t="s">
        <v>747</v>
      </c>
      <c r="C397" s="92">
        <v>0.90469</v>
      </c>
      <c r="D397" s="92"/>
      <c r="E397" s="92"/>
      <c r="F397" s="92"/>
      <c r="G397" s="92"/>
      <c r="H397" s="92">
        <v>12.75785</v>
      </c>
      <c r="I397" s="92"/>
      <c r="J397" s="92"/>
      <c r="K397" s="92"/>
      <c r="L397" s="92"/>
      <c r="M397" s="92"/>
      <c r="N397" s="92"/>
      <c r="O397" s="92">
        <v>7.58</v>
      </c>
      <c r="P397" s="92">
        <v>0</v>
      </c>
      <c r="Q397" s="92"/>
      <c r="R397" s="92"/>
    </row>
    <row r="398" spans="1:18" s="67" customFormat="1" ht="33.75" outlineLevel="1">
      <c r="A398" s="174" t="s">
        <v>966</v>
      </c>
      <c r="B398" s="86" t="s">
        <v>967</v>
      </c>
      <c r="C398" s="92"/>
      <c r="D398" s="92"/>
      <c r="E398" s="92"/>
      <c r="F398" s="92"/>
      <c r="G398" s="92"/>
      <c r="H398" s="92"/>
      <c r="I398" s="92"/>
      <c r="J398" s="92"/>
      <c r="K398" s="92"/>
      <c r="L398" s="92"/>
      <c r="M398" s="92"/>
      <c r="N398" s="92"/>
      <c r="O398" s="92"/>
      <c r="P398" s="92"/>
      <c r="Q398" s="92"/>
      <c r="R398" s="92">
        <v>558.84436</v>
      </c>
    </row>
    <row r="399" spans="1:18" s="67" customFormat="1" ht="33.75" outlineLevel="1">
      <c r="A399" s="85" t="s">
        <v>805</v>
      </c>
      <c r="B399" s="86" t="s">
        <v>968</v>
      </c>
      <c r="C399" s="92"/>
      <c r="D399" s="92"/>
      <c r="E399" s="92"/>
      <c r="F399" s="92"/>
      <c r="G399" s="92"/>
      <c r="H399" s="92">
        <v>519.03138</v>
      </c>
      <c r="I399" s="92"/>
      <c r="J399" s="92"/>
      <c r="K399" s="92"/>
      <c r="L399" s="92"/>
      <c r="M399" s="92">
        <v>280.97272</v>
      </c>
      <c r="N399" s="92"/>
      <c r="O399" s="92">
        <v>14967.343</v>
      </c>
      <c r="P399" s="92">
        <v>14967.34297</v>
      </c>
      <c r="Q399" s="92"/>
      <c r="R399" s="92"/>
    </row>
    <row r="400" spans="1:18" s="67" customFormat="1" ht="33.75" outlineLevel="1">
      <c r="A400" s="85" t="s">
        <v>748</v>
      </c>
      <c r="B400" s="86" t="s">
        <v>749</v>
      </c>
      <c r="C400" s="92">
        <v>1689.47464</v>
      </c>
      <c r="D400" s="92"/>
      <c r="E400" s="92"/>
      <c r="F400" s="92"/>
      <c r="G400" s="92"/>
      <c r="H400" s="92">
        <v>55.05145</v>
      </c>
      <c r="I400" s="92"/>
      <c r="J400" s="92"/>
      <c r="K400" s="92"/>
      <c r="L400" s="92"/>
      <c r="M400" s="92"/>
      <c r="N400" s="92"/>
      <c r="O400" s="92"/>
      <c r="P400" s="92"/>
      <c r="Q400" s="92"/>
      <c r="R400" s="92"/>
    </row>
    <row r="401" spans="1:18" s="67" customFormat="1" ht="22.5" outlineLevel="1">
      <c r="A401" s="85" t="s">
        <v>750</v>
      </c>
      <c r="B401" s="86" t="s">
        <v>751</v>
      </c>
      <c r="C401" s="92">
        <v>5.45494</v>
      </c>
      <c r="D401" s="92"/>
      <c r="E401" s="92"/>
      <c r="F401" s="92"/>
      <c r="G401" s="92"/>
      <c r="H401" s="92"/>
      <c r="I401" s="92"/>
      <c r="J401" s="92"/>
      <c r="K401" s="92"/>
      <c r="L401" s="92"/>
      <c r="M401" s="92"/>
      <c r="N401" s="92"/>
      <c r="O401" s="92"/>
      <c r="P401" s="92"/>
      <c r="Q401" s="92"/>
      <c r="R401" s="92"/>
    </row>
    <row r="402" spans="1:18" s="67" customFormat="1" ht="22.5" outlineLevel="1">
      <c r="A402" s="85" t="s">
        <v>752</v>
      </c>
      <c r="B402" s="86" t="s">
        <v>753</v>
      </c>
      <c r="C402" s="92">
        <v>399.8905</v>
      </c>
      <c r="D402" s="92"/>
      <c r="E402" s="92"/>
      <c r="F402" s="92"/>
      <c r="G402" s="92"/>
      <c r="H402" s="92">
        <v>87.13166</v>
      </c>
      <c r="I402" s="92"/>
      <c r="J402" s="92"/>
      <c r="K402" s="92"/>
      <c r="L402" s="92"/>
      <c r="M402" s="92">
        <v>141.38549</v>
      </c>
      <c r="N402" s="92"/>
      <c r="O402" s="92">
        <v>57.372</v>
      </c>
      <c r="P402" s="92">
        <v>57.37171</v>
      </c>
      <c r="Q402" s="92"/>
      <c r="R402" s="92"/>
    </row>
    <row r="403" spans="1:18" s="67" customFormat="1" ht="22.5" outlineLevel="1">
      <c r="A403" s="85" t="s">
        <v>754</v>
      </c>
      <c r="B403" s="86" t="s">
        <v>755</v>
      </c>
      <c r="C403" s="92">
        <v>414.31734</v>
      </c>
      <c r="D403" s="92"/>
      <c r="E403" s="92"/>
      <c r="F403" s="92"/>
      <c r="G403" s="92"/>
      <c r="H403" s="92">
        <v>558.08052</v>
      </c>
      <c r="I403" s="92"/>
      <c r="J403" s="92"/>
      <c r="K403" s="92"/>
      <c r="L403" s="92"/>
      <c r="M403" s="92">
        <v>430.93799</v>
      </c>
      <c r="N403" s="92"/>
      <c r="O403" s="92">
        <v>539.465</v>
      </c>
      <c r="P403" s="92">
        <v>539.46528</v>
      </c>
      <c r="Q403" s="92"/>
      <c r="R403" s="92"/>
    </row>
    <row r="404" spans="1:18" s="67" customFormat="1" ht="22.5" outlineLevel="1">
      <c r="A404" s="85" t="s">
        <v>756</v>
      </c>
      <c r="B404" s="86" t="s">
        <v>757</v>
      </c>
      <c r="C404" s="92">
        <v>1.36646</v>
      </c>
      <c r="D404" s="92"/>
      <c r="E404" s="92"/>
      <c r="F404" s="92"/>
      <c r="G404" s="92"/>
      <c r="H404" s="92"/>
      <c r="I404" s="92"/>
      <c r="J404" s="92"/>
      <c r="K404" s="92"/>
      <c r="L404" s="92"/>
      <c r="M404" s="92"/>
      <c r="N404" s="92"/>
      <c r="O404" s="92"/>
      <c r="P404" s="92"/>
      <c r="Q404" s="92"/>
      <c r="R404" s="92"/>
    </row>
    <row r="405" spans="1:18" s="67" customFormat="1" ht="22.5" outlineLevel="1">
      <c r="A405" s="85" t="s">
        <v>758</v>
      </c>
      <c r="B405" s="86" t="s">
        <v>759</v>
      </c>
      <c r="C405" s="92">
        <v>16635.3961</v>
      </c>
      <c r="D405" s="92"/>
      <c r="E405" s="92"/>
      <c r="F405" s="92"/>
      <c r="G405" s="92"/>
      <c r="H405" s="92">
        <v>21382.7898</v>
      </c>
      <c r="I405" s="92"/>
      <c r="J405" s="92"/>
      <c r="K405" s="92"/>
      <c r="L405" s="92"/>
      <c r="M405" s="92">
        <v>7257.74128</v>
      </c>
      <c r="N405" s="92"/>
      <c r="O405" s="108">
        <v>6133.203</v>
      </c>
      <c r="P405" s="108">
        <v>6133.2032</v>
      </c>
      <c r="Q405" s="92"/>
      <c r="R405" s="92"/>
    </row>
    <row r="406" spans="1:18" s="67" customFormat="1" ht="22.5" outlineLevel="1">
      <c r="A406" s="166" t="s">
        <v>969</v>
      </c>
      <c r="B406" s="86"/>
      <c r="C406" s="92"/>
      <c r="D406" s="92"/>
      <c r="E406" s="92"/>
      <c r="F406" s="92"/>
      <c r="G406" s="92"/>
      <c r="H406" s="92"/>
      <c r="I406" s="92"/>
      <c r="J406" s="92"/>
      <c r="K406" s="92"/>
      <c r="L406" s="92"/>
      <c r="M406" s="92"/>
      <c r="N406" s="92"/>
      <c r="O406" s="108">
        <v>5903.753</v>
      </c>
      <c r="P406" s="108">
        <v>5903.75334</v>
      </c>
      <c r="Q406" s="92"/>
      <c r="R406" s="92"/>
    </row>
    <row r="407" spans="1:18" s="67" customFormat="1" ht="11.25" outlineLevel="1">
      <c r="A407" s="85" t="s">
        <v>760</v>
      </c>
      <c r="B407" s="86" t="s">
        <v>761</v>
      </c>
      <c r="C407" s="92">
        <v>326.53409</v>
      </c>
      <c r="D407" s="92"/>
      <c r="E407" s="92"/>
      <c r="F407" s="92"/>
      <c r="G407" s="92"/>
      <c r="H407" s="92">
        <v>416.33606</v>
      </c>
      <c r="I407" s="92"/>
      <c r="J407" s="92"/>
      <c r="K407" s="92"/>
      <c r="L407" s="92"/>
      <c r="M407" s="92"/>
      <c r="N407" s="92"/>
      <c r="O407" s="92">
        <v>1902.817</v>
      </c>
      <c r="P407" s="92">
        <v>1902.8174</v>
      </c>
      <c r="Q407" s="92"/>
      <c r="R407" s="92"/>
    </row>
    <row r="408" spans="1:18" s="67" customFormat="1" ht="22.5" outlineLevel="1">
      <c r="A408" s="116" t="s">
        <v>903</v>
      </c>
      <c r="B408" s="107" t="s">
        <v>904</v>
      </c>
      <c r="C408" s="108"/>
      <c r="D408" s="108"/>
      <c r="E408" s="108"/>
      <c r="F408" s="108"/>
      <c r="G408" s="108"/>
      <c r="H408" s="108"/>
      <c r="I408" s="108"/>
      <c r="J408" s="108"/>
      <c r="K408" s="108"/>
      <c r="L408" s="108"/>
      <c r="M408" s="108">
        <v>0.1966</v>
      </c>
      <c r="N408" s="108"/>
      <c r="O408" s="108">
        <v>11.563</v>
      </c>
      <c r="P408" s="108">
        <v>11.07952</v>
      </c>
      <c r="Q408" s="108"/>
      <c r="R408" s="108"/>
    </row>
    <row r="409" spans="1:18" s="67" customFormat="1" ht="33.75" outlineLevel="1">
      <c r="A409" s="116" t="s">
        <v>905</v>
      </c>
      <c r="B409" s="107" t="s">
        <v>970</v>
      </c>
      <c r="C409" s="108"/>
      <c r="D409" s="108"/>
      <c r="E409" s="108"/>
      <c r="F409" s="108"/>
      <c r="G409" s="108"/>
      <c r="H409" s="108"/>
      <c r="I409" s="108"/>
      <c r="J409" s="108"/>
      <c r="K409" s="108"/>
      <c r="L409" s="108"/>
      <c r="M409" s="108">
        <v>215.12109</v>
      </c>
      <c r="N409" s="108"/>
      <c r="O409" s="108">
        <v>780.183</v>
      </c>
      <c r="P409" s="108">
        <v>769.8735</v>
      </c>
      <c r="Q409" s="108"/>
      <c r="R409" s="108">
        <v>255.91266</v>
      </c>
    </row>
    <row r="410" spans="1:18" s="67" customFormat="1" ht="11.25" outlineLevel="1">
      <c r="A410" s="116" t="s">
        <v>906</v>
      </c>
      <c r="B410" s="107" t="s">
        <v>907</v>
      </c>
      <c r="C410" s="108"/>
      <c r="D410" s="108"/>
      <c r="E410" s="108"/>
      <c r="F410" s="108"/>
      <c r="G410" s="108"/>
      <c r="H410" s="108"/>
      <c r="I410" s="108"/>
      <c r="J410" s="108"/>
      <c r="K410" s="108"/>
      <c r="L410" s="108"/>
      <c r="M410" s="108">
        <v>24.1368</v>
      </c>
      <c r="N410" s="108"/>
      <c r="O410" s="108"/>
      <c r="P410" s="108"/>
      <c r="Q410" s="108"/>
      <c r="R410" s="108"/>
    </row>
    <row r="411" spans="1:18" s="79" customFormat="1" ht="12" outlineLevel="1" thickBot="1">
      <c r="A411" s="117" t="s">
        <v>762</v>
      </c>
      <c r="B411" s="118">
        <v>8</v>
      </c>
      <c r="C411" s="112">
        <v>7840.6772</v>
      </c>
      <c r="D411" s="112"/>
      <c r="E411" s="112"/>
      <c r="F411" s="112"/>
      <c r="G411" s="118"/>
      <c r="H411" s="112">
        <v>41173.79633999999</v>
      </c>
      <c r="I411" s="112"/>
      <c r="J411" s="112"/>
      <c r="K411" s="112"/>
      <c r="L411" s="118"/>
      <c r="M411" s="119">
        <v>9928.08193</v>
      </c>
      <c r="N411" s="112"/>
      <c r="O411" s="112">
        <v>472.45588</v>
      </c>
      <c r="P411" s="112">
        <v>458.03265</v>
      </c>
      <c r="Q411" s="112"/>
      <c r="R411" s="112">
        <v>1643.8195537259</v>
      </c>
    </row>
    <row r="412" spans="1:18" s="79" customFormat="1" ht="12" thickBot="1">
      <c r="A412" s="120" t="s">
        <v>908</v>
      </c>
      <c r="B412" s="121"/>
      <c r="C412" s="123"/>
      <c r="D412" s="123">
        <v>36296.25769999996</v>
      </c>
      <c r="E412" s="123">
        <f>36296.2576999999+1957.82</f>
        <v>38254.0776999999</v>
      </c>
      <c r="F412" s="123">
        <f>36296.2577+1957.82+14306.601</f>
        <v>52560.678700000004</v>
      </c>
      <c r="G412" s="123">
        <f>36296.2577+1957.82+14306.601-13752.57</f>
        <v>38808.108700000004</v>
      </c>
      <c r="H412" s="123"/>
      <c r="I412" s="123"/>
      <c r="J412" s="123">
        <v>2048.38</v>
      </c>
      <c r="K412" s="123"/>
      <c r="L412" s="122">
        <v>0</v>
      </c>
      <c r="M412" s="123"/>
      <c r="N412" s="123">
        <v>0</v>
      </c>
      <c r="O412" s="123"/>
      <c r="P412" s="123"/>
      <c r="Q412" s="123">
        <v>-5475.350557188736</v>
      </c>
      <c r="R412" s="123"/>
    </row>
    <row r="413" spans="3:18" ht="12.75">
      <c r="C413" s="47"/>
      <c r="D413" s="47"/>
      <c r="E413" s="47"/>
      <c r="F413" s="47"/>
      <c r="G413" s="47"/>
      <c r="H413" s="47"/>
      <c r="I413" s="47"/>
      <c r="J413" s="47"/>
      <c r="K413" s="47"/>
      <c r="L413" s="47"/>
      <c r="M413" s="47"/>
      <c r="N413" s="47"/>
      <c r="O413" s="47"/>
      <c r="P413" s="47"/>
      <c r="Q413" s="47"/>
      <c r="R413" s="47"/>
    </row>
    <row r="414" spans="3:18" ht="12.75">
      <c r="C414" s="47"/>
      <c r="D414" s="47"/>
      <c r="E414" s="47"/>
      <c r="F414" s="47"/>
      <c r="G414" s="47"/>
      <c r="H414" s="47"/>
      <c r="I414" s="47"/>
      <c r="J414" s="47"/>
      <c r="K414" s="47"/>
      <c r="L414" s="47"/>
      <c r="M414" s="47"/>
      <c r="N414" s="47"/>
      <c r="O414" s="47"/>
      <c r="P414" s="47"/>
      <c r="Q414" s="47"/>
      <c r="R414" s="47"/>
    </row>
    <row r="415" spans="1:18" s="50" customFormat="1" ht="15">
      <c r="A415" s="48" t="s">
        <v>143</v>
      </c>
      <c r="B415" s="48"/>
      <c r="C415" s="49">
        <f>C13</f>
        <v>1188746.0221</v>
      </c>
      <c r="D415" s="49"/>
      <c r="E415" s="49"/>
      <c r="F415" s="49"/>
      <c r="G415" s="49"/>
      <c r="H415" s="49">
        <f>H13</f>
        <v>1435312.42308</v>
      </c>
      <c r="I415" s="49"/>
      <c r="J415" s="49"/>
      <c r="K415" s="49"/>
      <c r="L415" s="49"/>
      <c r="M415" s="49">
        <f>M13</f>
        <v>1562949.233</v>
      </c>
      <c r="N415" s="49"/>
      <c r="O415" s="49">
        <f>O13+152.7551+6501.98323</f>
        <v>3211908.03933</v>
      </c>
      <c r="P415" s="49">
        <f>P13</f>
        <v>1474241.4700000002</v>
      </c>
      <c r="Q415" s="49"/>
      <c r="R415" s="49">
        <f>R13</f>
        <v>1721053.658</v>
      </c>
    </row>
    <row r="416" spans="1:18" s="50" customFormat="1" ht="15">
      <c r="A416" s="48" t="s">
        <v>909</v>
      </c>
      <c r="B416" s="48"/>
      <c r="C416" s="49">
        <f>C15-C108-C288</f>
        <v>1465048.7200000002</v>
      </c>
      <c r="D416" s="49"/>
      <c r="E416" s="49"/>
      <c r="F416" s="49"/>
      <c r="G416" s="49"/>
      <c r="H416" s="49">
        <f>H15-H108-H288</f>
        <v>1655452.2649999994</v>
      </c>
      <c r="I416" s="49"/>
      <c r="J416" s="49"/>
      <c r="K416" s="49"/>
      <c r="L416" s="49"/>
      <c r="M416" s="49">
        <f>M15-M108-M288</f>
        <v>1751404.0679999997</v>
      </c>
      <c r="N416" s="49"/>
      <c r="O416" s="49">
        <f>O15-O108-O288+277578.201+8070.93455+83.9191</f>
        <v>2127780.52965</v>
      </c>
      <c r="P416" s="49">
        <f>P15-P108-P288</f>
        <v>1821906.1809999996</v>
      </c>
      <c r="Q416" s="49"/>
      <c r="R416" s="49">
        <f>R15-R108-R288</f>
        <v>2110303.7079999996</v>
      </c>
    </row>
    <row r="417" spans="1:18" ht="12.75">
      <c r="A417" t="s">
        <v>814</v>
      </c>
      <c r="C417" s="47">
        <f>C415-C416</f>
        <v>-276302.69790000026</v>
      </c>
      <c r="D417" s="47"/>
      <c r="E417" s="47"/>
      <c r="F417" s="47"/>
      <c r="G417" s="47"/>
      <c r="H417" s="47">
        <f>H415-H416</f>
        <v>-220139.84191999934</v>
      </c>
      <c r="I417" s="47"/>
      <c r="J417" s="47"/>
      <c r="K417" s="47"/>
      <c r="L417" s="47"/>
      <c r="M417" s="47">
        <f>M415-M416</f>
        <v>-188454.83499999973</v>
      </c>
      <c r="N417" s="47"/>
      <c r="O417" s="47">
        <f>O415-O416</f>
        <v>1084127.5096800001</v>
      </c>
      <c r="P417" s="47">
        <f>P415-P416</f>
        <v>-347664.7109999994</v>
      </c>
      <c r="Q417" s="47"/>
      <c r="R417" s="47">
        <f>R415-R416</f>
        <v>-389250.0499999996</v>
      </c>
    </row>
    <row r="418" spans="1:18" ht="12.75">
      <c r="A418" s="51" t="s">
        <v>815</v>
      </c>
      <c r="B418" s="51"/>
      <c r="C418" s="52">
        <f>C108</f>
        <v>38619.8831</v>
      </c>
      <c r="D418" s="52"/>
      <c r="E418" s="52"/>
      <c r="F418" s="52"/>
      <c r="G418" s="52"/>
      <c r="H418" s="52">
        <f>H108</f>
        <v>42447.59443</v>
      </c>
      <c r="I418" s="52"/>
      <c r="J418" s="52"/>
      <c r="K418" s="52"/>
      <c r="L418" s="52"/>
      <c r="M418" s="52">
        <f>M108</f>
        <v>47375.74101</v>
      </c>
      <c r="N418" s="52"/>
      <c r="O418" s="52">
        <f>O108</f>
        <v>50972.68755</v>
      </c>
      <c r="P418" s="52">
        <f>P108</f>
        <v>48897.94262</v>
      </c>
      <c r="Q418" s="52"/>
      <c r="R418" s="52">
        <f>R108</f>
        <v>79527.45771</v>
      </c>
    </row>
    <row r="419" spans="1:18" ht="12.75">
      <c r="A419" s="51" t="s">
        <v>816</v>
      </c>
      <c r="B419" s="51"/>
      <c r="C419" s="52">
        <f>SUM(C420:C421)</f>
        <v>61850.07246</v>
      </c>
      <c r="D419" s="52"/>
      <c r="E419" s="52"/>
      <c r="F419" s="52"/>
      <c r="G419" s="52"/>
      <c r="H419" s="52">
        <f>SUM(H420:H421)</f>
        <v>98170.55223</v>
      </c>
      <c r="I419" s="52"/>
      <c r="J419" s="52"/>
      <c r="K419" s="52"/>
      <c r="L419" s="52"/>
      <c r="M419" s="52">
        <f aca="true" t="shared" si="137" ref="M419:R419">SUM(M420:M421)</f>
        <v>302405.62175</v>
      </c>
      <c r="N419" s="52"/>
      <c r="O419" s="52">
        <f t="shared" si="137"/>
        <v>101081.87277999996</v>
      </c>
      <c r="P419" s="52">
        <f t="shared" si="137"/>
        <v>56978.97407</v>
      </c>
      <c r="Q419" s="52"/>
      <c r="R419" s="52">
        <f t="shared" si="137"/>
        <v>3715.8517437258997</v>
      </c>
    </row>
    <row r="420" spans="1:18" ht="12.75">
      <c r="A420" t="s">
        <v>817</v>
      </c>
      <c r="C420" s="47">
        <f>C376</f>
        <v>54009.395260000005</v>
      </c>
      <c r="D420" s="47"/>
      <c r="E420" s="47"/>
      <c r="F420" s="47"/>
      <c r="G420" s="47"/>
      <c r="H420" s="47">
        <f>H376</f>
        <v>56996.75589</v>
      </c>
      <c r="I420" s="47"/>
      <c r="J420" s="47"/>
      <c r="K420" s="47"/>
      <c r="L420" s="47"/>
      <c r="M420" s="47">
        <f>M376</f>
        <v>292477.53982</v>
      </c>
      <c r="N420" s="47"/>
      <c r="O420" s="176">
        <f>O376</f>
        <v>100609.41689999997</v>
      </c>
      <c r="P420" s="176">
        <f>P376</f>
        <v>56520.941419999996</v>
      </c>
      <c r="Q420" s="47"/>
      <c r="R420" s="47">
        <f>R376</f>
        <v>2072.03219</v>
      </c>
    </row>
    <row r="421" spans="1:18" ht="12.75">
      <c r="A421" t="s">
        <v>818</v>
      </c>
      <c r="C421" s="47">
        <f>C411</f>
        <v>7840.6772</v>
      </c>
      <c r="D421" s="47"/>
      <c r="E421" s="47"/>
      <c r="F421" s="47"/>
      <c r="G421" s="47"/>
      <c r="H421" s="47">
        <f>H411</f>
        <v>41173.79633999999</v>
      </c>
      <c r="I421" s="47"/>
      <c r="J421" s="47"/>
      <c r="K421" s="47"/>
      <c r="L421" s="47"/>
      <c r="M421" s="47">
        <f aca="true" t="shared" si="138" ref="M421:R421">M411</f>
        <v>9928.08193</v>
      </c>
      <c r="N421" s="47"/>
      <c r="O421" s="176">
        <f t="shared" si="138"/>
        <v>472.45588</v>
      </c>
      <c r="P421" s="176">
        <f t="shared" si="138"/>
        <v>458.03265</v>
      </c>
      <c r="Q421" s="47"/>
      <c r="R421" s="47">
        <f t="shared" si="138"/>
        <v>1643.8195537259</v>
      </c>
    </row>
    <row r="422" spans="1:18" ht="12.75">
      <c r="A422" s="51" t="s">
        <v>647</v>
      </c>
      <c r="B422" s="51"/>
      <c r="C422" s="52">
        <f>SUM(C423:C424)</f>
        <v>294689.88366</v>
      </c>
      <c r="D422" s="52"/>
      <c r="E422" s="52"/>
      <c r="F422" s="52"/>
      <c r="G422" s="52"/>
      <c r="H422" s="52">
        <f>SUM(H423:H424)</f>
        <v>164708.13858899998</v>
      </c>
      <c r="I422" s="52"/>
      <c r="J422" s="52"/>
      <c r="K422" s="52"/>
      <c r="L422" s="52"/>
      <c r="M422" s="52">
        <f aca="true" t="shared" si="139" ref="M422:R422">SUM(M423:M424)</f>
        <v>127922.73534999999</v>
      </c>
      <c r="N422" s="52"/>
      <c r="O422" s="52">
        <f t="shared" si="139"/>
        <v>784909.0934799999</v>
      </c>
      <c r="P422" s="52">
        <f t="shared" si="139"/>
        <v>590982.25358</v>
      </c>
      <c r="Q422" s="52"/>
      <c r="R422" s="52">
        <f t="shared" si="139"/>
        <v>83730.85298</v>
      </c>
    </row>
    <row r="423" spans="1:18" ht="12.75">
      <c r="A423" t="s">
        <v>817</v>
      </c>
      <c r="C423" s="47">
        <f>C299+C210</f>
        <v>270880.04946</v>
      </c>
      <c r="D423" s="47"/>
      <c r="E423" s="47"/>
      <c r="F423" s="47"/>
      <c r="G423" s="47"/>
      <c r="H423" s="47">
        <f>H299+H210</f>
        <v>106621.218429</v>
      </c>
      <c r="I423" s="47"/>
      <c r="J423" s="47"/>
      <c r="K423" s="47"/>
      <c r="L423" s="47"/>
      <c r="M423" s="47">
        <f>M299+M210</f>
        <v>83959.61532999999</v>
      </c>
      <c r="N423" s="47"/>
      <c r="O423" s="47">
        <f>O299+O210</f>
        <v>738412.6708399999</v>
      </c>
      <c r="P423" s="47">
        <f>P299+P210</f>
        <v>546105.55313</v>
      </c>
      <c r="Q423" s="47"/>
      <c r="R423" s="47">
        <f>R299+R210</f>
        <v>64703.690650000004</v>
      </c>
    </row>
    <row r="424" spans="1:18" ht="12.75">
      <c r="A424" t="s">
        <v>818</v>
      </c>
      <c r="C424" s="47">
        <f>C375+C223</f>
        <v>23809.834199999998</v>
      </c>
      <c r="D424" s="47"/>
      <c r="E424" s="47"/>
      <c r="F424" s="47"/>
      <c r="G424" s="47"/>
      <c r="H424" s="47">
        <f>H375+H223</f>
        <v>58086.920159999994</v>
      </c>
      <c r="I424" s="47"/>
      <c r="J424" s="47"/>
      <c r="K424" s="47"/>
      <c r="L424" s="47"/>
      <c r="M424" s="47">
        <f>M375+M223</f>
        <v>43963.12002</v>
      </c>
      <c r="N424" s="47"/>
      <c r="O424" s="47">
        <f>O375+O223</f>
        <v>46496.42263999999</v>
      </c>
      <c r="P424" s="47">
        <f>P375+P223</f>
        <v>44876.70045</v>
      </c>
      <c r="Q424" s="47"/>
      <c r="R424" s="47">
        <f>R375+R223</f>
        <v>19027.16233</v>
      </c>
    </row>
    <row r="425" spans="1:18" ht="12.75">
      <c r="A425" s="51" t="s">
        <v>819</v>
      </c>
      <c r="B425" s="51"/>
      <c r="C425" s="52">
        <v>0</v>
      </c>
      <c r="D425" s="52"/>
      <c r="E425" s="52"/>
      <c r="F425" s="52"/>
      <c r="G425" s="52"/>
      <c r="H425" s="52"/>
      <c r="I425" s="52"/>
      <c r="J425" s="52"/>
      <c r="K425" s="52"/>
      <c r="L425" s="52"/>
      <c r="M425" s="52">
        <v>2.441</v>
      </c>
      <c r="N425" s="52"/>
      <c r="O425" s="52">
        <v>6400.57468</v>
      </c>
      <c r="P425" s="52">
        <v>1603.478</v>
      </c>
      <c r="Q425" s="52"/>
      <c r="R425" s="52"/>
    </row>
    <row r="426" spans="1:18" ht="12.75">
      <c r="A426" s="51" t="s">
        <v>820</v>
      </c>
      <c r="B426" s="51"/>
      <c r="C426" s="52">
        <f>C289</f>
        <v>767838.47542</v>
      </c>
      <c r="D426" s="52"/>
      <c r="E426" s="52"/>
      <c r="F426" s="52"/>
      <c r="G426" s="52"/>
      <c r="H426" s="52">
        <f>H289</f>
        <v>669591.07242</v>
      </c>
      <c r="I426" s="52"/>
      <c r="J426" s="52"/>
      <c r="K426" s="52"/>
      <c r="L426" s="52"/>
      <c r="M426" s="52">
        <f>M289</f>
        <v>563936.2672199999</v>
      </c>
      <c r="N426" s="52"/>
      <c r="O426" s="52">
        <f>O289</f>
        <v>35967.99618</v>
      </c>
      <c r="P426" s="52">
        <f>P289</f>
        <v>35792.78176</v>
      </c>
      <c r="Q426" s="52"/>
      <c r="R426" s="52">
        <f>R289</f>
        <v>198369.945</v>
      </c>
    </row>
    <row r="427" spans="1:18" ht="12.75">
      <c r="A427" t="s">
        <v>821</v>
      </c>
      <c r="C427" s="47">
        <f>C417-C418+C419-C422+C425-C426</f>
        <v>-1315600.8676200002</v>
      </c>
      <c r="D427" s="47"/>
      <c r="E427" s="47"/>
      <c r="F427" s="47"/>
      <c r="G427" s="47"/>
      <c r="H427" s="47">
        <f>H417-H418+H419-H422+H425-H426</f>
        <v>-998716.0951289993</v>
      </c>
      <c r="I427" s="47"/>
      <c r="J427" s="47"/>
      <c r="K427" s="47"/>
      <c r="L427" s="47"/>
      <c r="M427" s="47">
        <f>M417-M418+M419-M422+M425-M426</f>
        <v>-625281.5158299997</v>
      </c>
      <c r="N427" s="47"/>
      <c r="O427" s="47">
        <f>O417-O418+O419-O422+O425-O426</f>
        <v>319760.17993000016</v>
      </c>
      <c r="P427" s="47">
        <f>P417-P418+P419-P422+P425-P426</f>
        <v>-964755.2368899995</v>
      </c>
      <c r="Q427" s="47"/>
      <c r="R427" s="47">
        <f>R417-R418+R419-R422+R425-R426</f>
        <v>-747162.4539462738</v>
      </c>
    </row>
    <row r="428" spans="1:18" ht="12.75">
      <c r="A428" s="51" t="s">
        <v>822</v>
      </c>
      <c r="B428" s="51"/>
      <c r="C428" s="52">
        <f>SUM(C429:C430)</f>
        <v>-28045.42822</v>
      </c>
      <c r="D428" s="52"/>
      <c r="E428" s="52"/>
      <c r="F428" s="52"/>
      <c r="G428" s="52"/>
      <c r="H428" s="52">
        <f>SUM(H429:H430)</f>
        <v>-198709.31934999998</v>
      </c>
      <c r="I428" s="52"/>
      <c r="J428" s="52"/>
      <c r="K428" s="52"/>
      <c r="L428" s="52"/>
      <c r="M428" s="52">
        <f aca="true" t="shared" si="140" ref="M428:R428">SUM(M429:M430)</f>
        <v>-317430.35991</v>
      </c>
      <c r="N428" s="52"/>
      <c r="O428" s="52">
        <f t="shared" si="140"/>
        <v>73590.63374</v>
      </c>
      <c r="P428" s="52">
        <f t="shared" si="140"/>
        <v>73590.63374</v>
      </c>
      <c r="Q428" s="52"/>
      <c r="R428" s="52">
        <f t="shared" si="140"/>
        <v>-171158.651874757</v>
      </c>
    </row>
    <row r="429" spans="1:18" ht="12.75">
      <c r="A429" s="53" t="s">
        <v>710</v>
      </c>
      <c r="C429" s="47">
        <f>C373</f>
        <v>-265479.79079</v>
      </c>
      <c r="D429" s="47"/>
      <c r="E429" s="47"/>
      <c r="F429" s="47"/>
      <c r="G429" s="47"/>
      <c r="H429" s="47">
        <f>H373</f>
        <v>44694.11493</v>
      </c>
      <c r="I429" s="47"/>
      <c r="J429" s="47"/>
      <c r="K429" s="47"/>
      <c r="L429" s="47"/>
      <c r="M429" s="47">
        <f>M373</f>
        <v>-187844.97132</v>
      </c>
      <c r="N429" s="47"/>
      <c r="O429" s="47">
        <f>O373</f>
        <v>59112.78931</v>
      </c>
      <c r="P429" s="47">
        <f>P373</f>
        <v>59112.78931</v>
      </c>
      <c r="Q429" s="47"/>
      <c r="R429" s="47">
        <f>R373</f>
        <v>-171158.651874757</v>
      </c>
    </row>
    <row r="430" spans="1:18" ht="12.75">
      <c r="A430" s="53" t="s">
        <v>712</v>
      </c>
      <c r="C430" s="47">
        <f>C374</f>
        <v>237434.36257</v>
      </c>
      <c r="D430" s="47"/>
      <c r="E430" s="47"/>
      <c r="F430" s="47"/>
      <c r="G430" s="47"/>
      <c r="H430" s="47">
        <f>H374</f>
        <v>-243403.43428</v>
      </c>
      <c r="I430" s="47"/>
      <c r="J430" s="47"/>
      <c r="K430" s="47"/>
      <c r="L430" s="47"/>
      <c r="M430" s="47">
        <f>M374</f>
        <v>-129585.38859</v>
      </c>
      <c r="N430" s="47"/>
      <c r="O430" s="47">
        <f>O374</f>
        <v>14477.84443</v>
      </c>
      <c r="P430" s="47">
        <f>P374</f>
        <v>14477.84443</v>
      </c>
      <c r="Q430" s="47"/>
      <c r="R430" s="47">
        <f>R374</f>
        <v>0</v>
      </c>
    </row>
    <row r="431" spans="1:18" ht="12.75">
      <c r="A431" s="51" t="s">
        <v>823</v>
      </c>
      <c r="B431" s="51"/>
      <c r="C431" s="52">
        <f>C427-C428</f>
        <v>-1287555.4394</v>
      </c>
      <c r="D431" s="52"/>
      <c r="E431" s="52"/>
      <c r="F431" s="52"/>
      <c r="G431" s="52"/>
      <c r="H431" s="52">
        <f>H427-H428</f>
        <v>-800006.7757789993</v>
      </c>
      <c r="I431" s="52"/>
      <c r="J431" s="52"/>
      <c r="K431" s="52"/>
      <c r="L431" s="52"/>
      <c r="M431" s="52">
        <f aca="true" t="shared" si="141" ref="M431:R431">M427-M428</f>
        <v>-307851.1559199997</v>
      </c>
      <c r="N431" s="52"/>
      <c r="O431" s="52">
        <f t="shared" si="141"/>
        <v>246169.54619000014</v>
      </c>
      <c r="P431" s="52">
        <f t="shared" si="141"/>
        <v>-1038345.8706299994</v>
      </c>
      <c r="Q431" s="52"/>
      <c r="R431" s="52">
        <f t="shared" si="141"/>
        <v>-576003.8020715168</v>
      </c>
    </row>
    <row r="432" spans="1:18" ht="12.75">
      <c r="A432" s="51" t="s">
        <v>971</v>
      </c>
      <c r="B432" s="51"/>
      <c r="C432" s="52"/>
      <c r="D432" s="52"/>
      <c r="E432" s="52"/>
      <c r="F432" s="52"/>
      <c r="G432" s="52"/>
      <c r="H432" s="52"/>
      <c r="I432" s="52"/>
      <c r="J432" s="52"/>
      <c r="K432" s="52"/>
      <c r="L432" s="52"/>
      <c r="M432" s="52"/>
      <c r="N432" s="52"/>
      <c r="O432" s="52">
        <v>24196.2429</v>
      </c>
      <c r="P432" s="52">
        <v>0</v>
      </c>
      <c r="Q432" s="52"/>
      <c r="R432" s="52"/>
    </row>
    <row r="433" spans="1:20" ht="12.75">
      <c r="A433" s="51" t="s">
        <v>972</v>
      </c>
      <c r="O433" s="47">
        <f>O431-O432</f>
        <v>221973.30329000013</v>
      </c>
      <c r="P433" s="47">
        <f>P431-P432</f>
        <v>-1038345.8706299994</v>
      </c>
      <c r="S433" s="177">
        <v>221973.31282</v>
      </c>
      <c r="T433" s="177">
        <v>-1038345.86989</v>
      </c>
    </row>
    <row r="434" spans="19:20" ht="12.75">
      <c r="S434" s="155">
        <f>S433-O433</f>
        <v>0.009529999864753336</v>
      </c>
      <c r="T434" s="155">
        <f>T433-P433</f>
        <v>0.000739999464713037</v>
      </c>
    </row>
  </sheetData>
  <sheetProtection/>
  <mergeCells count="19">
    <mergeCell ref="P5:P7"/>
    <mergeCell ref="Q5:Q7"/>
    <mergeCell ref="R5:R7"/>
    <mergeCell ref="J5:J7"/>
    <mergeCell ref="K5:K7"/>
    <mergeCell ref="L5:L7"/>
    <mergeCell ref="M5:M7"/>
    <mergeCell ref="N5:N7"/>
    <mergeCell ref="O5:O7"/>
    <mergeCell ref="A2:R2"/>
    <mergeCell ref="A5:A7"/>
    <mergeCell ref="B5:B7"/>
    <mergeCell ref="C5:C7"/>
    <mergeCell ref="D5:D7"/>
    <mergeCell ref="E5:E7"/>
    <mergeCell ref="F5:F7"/>
    <mergeCell ref="G5:G7"/>
    <mergeCell ref="H5:H7"/>
    <mergeCell ref="I5:I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Нохашкеев Санджи Сергеевич</cp:lastModifiedBy>
  <cp:lastPrinted>2024-03-29T07:29:37Z</cp:lastPrinted>
  <dcterms:created xsi:type="dcterms:W3CDTF">2010-05-19T10:50:44Z</dcterms:created>
  <dcterms:modified xsi:type="dcterms:W3CDTF">2024-03-29T07:50:14Z</dcterms:modified>
  <cp:category/>
  <cp:version/>
  <cp:contentType/>
  <cp:contentStatus/>
</cp:coreProperties>
</file>